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三亚市中医院2022年公开招聘编外卫生专业技术人员" sheetId="1" r:id="rId1"/>
  </sheets>
  <definedNames>
    <definedName name="_xlnm._FilterDatabase" localSheetId="0" hidden="1">'三亚市中医院2022年公开招聘编外卫生专业技术人员'!$A$2:$X$539</definedName>
  </definedNames>
  <calcPr fullCalcOnLoad="1"/>
</workbook>
</file>

<file path=xl/sharedStrings.xml><?xml version="1.0" encoding="utf-8"?>
<sst xmlns="http://schemas.openxmlformats.org/spreadsheetml/2006/main" count="545" uniqueCount="33">
  <si>
    <t>三亚市中医院
2022年公开招聘编外卫生专业技术人员通过资格初审进入笔试人员名单</t>
  </si>
  <si>
    <t>序号</t>
  </si>
  <si>
    <t>报考号</t>
  </si>
  <si>
    <t>报考岗位</t>
  </si>
  <si>
    <t>姓名</t>
  </si>
  <si>
    <t>性别</t>
  </si>
  <si>
    <t>出生年月</t>
  </si>
  <si>
    <t>备注</t>
  </si>
  <si>
    <t>0101_麻醉科医师</t>
  </si>
  <si>
    <t>0102_儿科医生</t>
  </si>
  <si>
    <t>0103_感染科医师</t>
  </si>
  <si>
    <t>0105_影像科医师</t>
  </si>
  <si>
    <t>0106_影像科医师</t>
  </si>
  <si>
    <t>0107_影像科技师</t>
  </si>
  <si>
    <t>0109_脑外科医师</t>
  </si>
  <si>
    <t>0110_脑外科医师</t>
  </si>
  <si>
    <t>0112_骨伤科医师</t>
  </si>
  <si>
    <t>0113_功能科B超医师</t>
  </si>
  <si>
    <t>0114_康复科医师</t>
  </si>
  <si>
    <t>0115_康复科医师</t>
  </si>
  <si>
    <t>0116_康复科康复治疗师</t>
  </si>
  <si>
    <t>0117_康复科康复治疗师</t>
  </si>
  <si>
    <t>0118_肛肠科医师</t>
  </si>
  <si>
    <t>0119_春园社区B超医师</t>
  </si>
  <si>
    <t>0121_针灸一科医师</t>
  </si>
  <si>
    <t>0122_妇产科医师</t>
  </si>
  <si>
    <t>0123_输血科检验技师</t>
  </si>
  <si>
    <t>0124_检验科检验技师</t>
  </si>
  <si>
    <t>0125_病理科诊断医师</t>
  </si>
  <si>
    <t>0127_药房中药师</t>
  </si>
  <si>
    <t>0128_制剂室中药制剂研发</t>
  </si>
  <si>
    <t>0129_护理岗位1-护理</t>
  </si>
  <si>
    <t>0130_护理岗位2-护理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</si>
</sst>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37" fillId="0" borderId="9" xfId="0" applyFont="1" applyBorder="1" applyAlignment="1" applyProtection="1">
      <alignment horizontal="center" vertical="center" wrapText="1"/>
      <protection/>
    </xf>
    <xf numFmtId="0" fontId="37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14" fontId="0" fillId="0" borderId="9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9"/>
  <sheetViews>
    <sheetView tabSelected="1" workbookViewId="0" topLeftCell="A521">
      <selection activeCell="D530" sqref="D530"/>
    </sheetView>
  </sheetViews>
  <sheetFormatPr defaultColWidth="9.00390625" defaultRowHeight="15"/>
  <cols>
    <col min="1" max="1" width="9.00390625" style="2" customWidth="1"/>
    <col min="2" max="2" width="30.28125" style="2" customWidth="1"/>
    <col min="3" max="3" width="25.8515625" style="2" customWidth="1"/>
    <col min="4" max="4" width="15.8515625" style="2" customWidth="1"/>
    <col min="5" max="5" width="11.7109375" style="2" customWidth="1"/>
    <col min="6" max="6" width="22.421875" style="2" customWidth="1"/>
    <col min="7" max="7" width="17.00390625" style="2" customWidth="1"/>
    <col min="8" max="16384" width="9.00390625" style="2" customWidth="1"/>
  </cols>
  <sheetData>
    <row r="1" spans="1:7" ht="57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ht="30" customHeight="1">
      <c r="A3" s="6">
        <v>1</v>
      </c>
      <c r="B3" s="6" t="str">
        <f>"39212022051421182930558"</f>
        <v>39212022051421182930558</v>
      </c>
      <c r="C3" s="6" t="s">
        <v>8</v>
      </c>
      <c r="D3" s="6" t="str">
        <f>"王运达"</f>
        <v>王运达</v>
      </c>
      <c r="E3" s="6" t="str">
        <f>"男"</f>
        <v>男</v>
      </c>
      <c r="F3" s="6" t="str">
        <f>"1995-11-05"</f>
        <v>1995-11-05</v>
      </c>
      <c r="G3" s="6"/>
    </row>
    <row r="4" spans="1:7" ht="30" customHeight="1">
      <c r="A4" s="6">
        <v>2</v>
      </c>
      <c r="B4" s="6" t="str">
        <f>"39212022051511115430750"</f>
        <v>39212022051511115430750</v>
      </c>
      <c r="C4" s="6" t="s">
        <v>8</v>
      </c>
      <c r="D4" s="6" t="str">
        <f>"陈美萍"</f>
        <v>陈美萍</v>
      </c>
      <c r="E4" s="6" t="str">
        <f>"女"</f>
        <v>女</v>
      </c>
      <c r="F4" s="6" t="str">
        <f>"1995-11-05"</f>
        <v>1995-11-05</v>
      </c>
      <c r="G4" s="6"/>
    </row>
    <row r="5" spans="1:7" ht="30" customHeight="1">
      <c r="A5" s="6">
        <v>3</v>
      </c>
      <c r="B5" s="6" t="str">
        <f>"39212022051721333334464"</f>
        <v>39212022051721333334464</v>
      </c>
      <c r="C5" s="6" t="s">
        <v>8</v>
      </c>
      <c r="D5" s="6" t="str">
        <f>"姚思安"</f>
        <v>姚思安</v>
      </c>
      <c r="E5" s="6" t="str">
        <f>"男"</f>
        <v>男</v>
      </c>
      <c r="F5" s="7">
        <v>34392</v>
      </c>
      <c r="G5" s="6"/>
    </row>
    <row r="6" spans="1:7" ht="30" customHeight="1">
      <c r="A6" s="6">
        <v>4</v>
      </c>
      <c r="B6" s="6" t="str">
        <f>"39212022051722032334554"</f>
        <v>39212022051722032334554</v>
      </c>
      <c r="C6" s="6" t="s">
        <v>8</v>
      </c>
      <c r="D6" s="6" t="str">
        <f>"黄绮华"</f>
        <v>黄绮华</v>
      </c>
      <c r="E6" s="6" t="str">
        <f>"女"</f>
        <v>女</v>
      </c>
      <c r="F6" s="6" t="str">
        <f>"1993-4-8"</f>
        <v>1993-4-8</v>
      </c>
      <c r="G6" s="6"/>
    </row>
    <row r="7" spans="1:7" ht="30" customHeight="1">
      <c r="A7" s="6">
        <v>5</v>
      </c>
      <c r="B7" s="6" t="str">
        <f>"3921202205120851227059"</f>
        <v>3921202205120851227059</v>
      </c>
      <c r="C7" s="6" t="s">
        <v>9</v>
      </c>
      <c r="D7" s="6" t="str">
        <f>"代思雨"</f>
        <v>代思雨</v>
      </c>
      <c r="E7" s="6" t="str">
        <f>"女"</f>
        <v>女</v>
      </c>
      <c r="F7" s="6" t="str">
        <f>"1993-5-3"</f>
        <v>1993-5-3</v>
      </c>
      <c r="G7" s="6"/>
    </row>
    <row r="8" spans="1:7" ht="30" customHeight="1">
      <c r="A8" s="6">
        <v>6</v>
      </c>
      <c r="B8" s="6" t="str">
        <f>"3921202205121125487831"</f>
        <v>3921202205121125487831</v>
      </c>
      <c r="C8" s="6" t="s">
        <v>9</v>
      </c>
      <c r="D8" s="6" t="str">
        <f>"李露"</f>
        <v>李露</v>
      </c>
      <c r="E8" s="6" t="str">
        <f>"女"</f>
        <v>女</v>
      </c>
      <c r="F8" s="6" t="str">
        <f>"1990-11-5"</f>
        <v>1990-11-5</v>
      </c>
      <c r="G8" s="6"/>
    </row>
    <row r="9" spans="1:7" ht="30" customHeight="1">
      <c r="A9" s="6">
        <v>7</v>
      </c>
      <c r="B9" s="6" t="str">
        <f>"39212022051807175134916"</f>
        <v>39212022051807175134916</v>
      </c>
      <c r="C9" s="6" t="s">
        <v>9</v>
      </c>
      <c r="D9" s="6" t="str">
        <f>"王丹妮"</f>
        <v>王丹妮</v>
      </c>
      <c r="E9" s="6" t="str">
        <f>"女"</f>
        <v>女</v>
      </c>
      <c r="F9" s="6" t="str">
        <f>"1997-04-24"</f>
        <v>1997-04-24</v>
      </c>
      <c r="G9" s="6"/>
    </row>
    <row r="10" spans="1:7" ht="30" customHeight="1">
      <c r="A10" s="6">
        <v>8</v>
      </c>
      <c r="B10" s="6" t="str">
        <f>"3921202205122043188960"</f>
        <v>3921202205122043188960</v>
      </c>
      <c r="C10" s="6" t="s">
        <v>10</v>
      </c>
      <c r="D10" s="6" t="str">
        <f>"张杰娜"</f>
        <v>张杰娜</v>
      </c>
      <c r="E10" s="6" t="str">
        <f>"女"</f>
        <v>女</v>
      </c>
      <c r="F10" s="6" t="str">
        <f>"1994-09-05"</f>
        <v>1994-09-05</v>
      </c>
      <c r="G10" s="6"/>
    </row>
    <row r="11" spans="1:7" ht="30" customHeight="1">
      <c r="A11" s="6">
        <v>9</v>
      </c>
      <c r="B11" s="6" t="str">
        <f>"39212022051415243130366"</f>
        <v>39212022051415243130366</v>
      </c>
      <c r="C11" s="6" t="s">
        <v>10</v>
      </c>
      <c r="D11" s="6" t="str">
        <f>"陈泰杰"</f>
        <v>陈泰杰</v>
      </c>
      <c r="E11" s="6" t="str">
        <f>"男"</f>
        <v>男</v>
      </c>
      <c r="F11" s="6" t="str">
        <f>"1994-03-13"</f>
        <v>1994-03-13</v>
      </c>
      <c r="G11" s="6"/>
    </row>
    <row r="12" spans="1:7" ht="30" customHeight="1">
      <c r="A12" s="6">
        <v>10</v>
      </c>
      <c r="B12" s="6" t="str">
        <f>"39212022051422324530604"</f>
        <v>39212022051422324530604</v>
      </c>
      <c r="C12" s="6" t="s">
        <v>10</v>
      </c>
      <c r="D12" s="6" t="str">
        <f>"谭少仙"</f>
        <v>谭少仙</v>
      </c>
      <c r="E12" s="6" t="str">
        <f>"女"</f>
        <v>女</v>
      </c>
      <c r="F12" s="6" t="str">
        <f>"1989-12-10"</f>
        <v>1989-12-10</v>
      </c>
      <c r="G12" s="6"/>
    </row>
    <row r="13" spans="1:7" ht="30" customHeight="1">
      <c r="A13" s="6">
        <v>11</v>
      </c>
      <c r="B13" s="6" t="str">
        <f>"39212022051615445531925"</f>
        <v>39212022051615445531925</v>
      </c>
      <c r="C13" s="6" t="s">
        <v>10</v>
      </c>
      <c r="D13" s="6" t="str">
        <f>"朱奕雄"</f>
        <v>朱奕雄</v>
      </c>
      <c r="E13" s="6" t="str">
        <f>"男"</f>
        <v>男</v>
      </c>
      <c r="F13" s="6" t="str">
        <f>"1992-09-21"</f>
        <v>1992-09-21</v>
      </c>
      <c r="G13" s="6"/>
    </row>
    <row r="14" spans="1:7" ht="30" customHeight="1">
      <c r="A14" s="6">
        <v>12</v>
      </c>
      <c r="B14" s="6" t="str">
        <f>"39212022051709581233140"</f>
        <v>39212022051709581233140</v>
      </c>
      <c r="C14" s="6" t="s">
        <v>10</v>
      </c>
      <c r="D14" s="6" t="str">
        <f>"闫钰婷"</f>
        <v>闫钰婷</v>
      </c>
      <c r="E14" s="6" t="str">
        <f>"女"</f>
        <v>女</v>
      </c>
      <c r="F14" s="6" t="str">
        <f>"1994-08-01"</f>
        <v>1994-08-01</v>
      </c>
      <c r="G14" s="6"/>
    </row>
    <row r="15" spans="1:7" ht="30" customHeight="1">
      <c r="A15" s="6">
        <v>13</v>
      </c>
      <c r="B15" s="6" t="str">
        <f>"39212022051719251533966"</f>
        <v>39212022051719251533966</v>
      </c>
      <c r="C15" s="6" t="s">
        <v>10</v>
      </c>
      <c r="D15" s="6" t="str">
        <f>"李金荣"</f>
        <v>李金荣</v>
      </c>
      <c r="E15" s="6" t="str">
        <f>"女"</f>
        <v>女</v>
      </c>
      <c r="F15" s="6" t="str">
        <f>"1987-07-12"</f>
        <v>1987-07-12</v>
      </c>
      <c r="G15" s="6"/>
    </row>
    <row r="16" spans="1:7" ht="30" customHeight="1">
      <c r="A16" s="6">
        <v>14</v>
      </c>
      <c r="B16" s="6" t="str">
        <f>"39212022051720031434035"</f>
        <v>39212022051720031434035</v>
      </c>
      <c r="C16" s="6" t="s">
        <v>10</v>
      </c>
      <c r="D16" s="6" t="str">
        <f>"孙文涛"</f>
        <v>孙文涛</v>
      </c>
      <c r="E16" s="6" t="str">
        <f>"男"</f>
        <v>男</v>
      </c>
      <c r="F16" s="6" t="str">
        <f>"1993-03-01"</f>
        <v>1993-03-01</v>
      </c>
      <c r="G16" s="6"/>
    </row>
    <row r="17" spans="1:7" ht="30" customHeight="1">
      <c r="A17" s="6">
        <v>15</v>
      </c>
      <c r="B17" s="6" t="str">
        <f>"3921202205121311368077"</f>
        <v>3921202205121311368077</v>
      </c>
      <c r="C17" s="6" t="s">
        <v>11</v>
      </c>
      <c r="D17" s="6" t="str">
        <f>"聂玉霞"</f>
        <v>聂玉霞</v>
      </c>
      <c r="E17" s="6" t="str">
        <f>"女"</f>
        <v>女</v>
      </c>
      <c r="F17" s="6" t="str">
        <f>"1984-10-04"</f>
        <v>1984-10-04</v>
      </c>
      <c r="G17" s="6"/>
    </row>
    <row r="18" spans="1:7" ht="30" customHeight="1">
      <c r="A18" s="6">
        <v>16</v>
      </c>
      <c r="B18" s="6" t="str">
        <f>"39212022051514554230894"</f>
        <v>39212022051514554230894</v>
      </c>
      <c r="C18" s="6" t="s">
        <v>12</v>
      </c>
      <c r="D18" s="6" t="str">
        <f>"吴一凡"</f>
        <v>吴一凡</v>
      </c>
      <c r="E18" s="6" t="str">
        <f>"女"</f>
        <v>女</v>
      </c>
      <c r="F18" s="6" t="str">
        <f>"1996-06-02"</f>
        <v>1996-06-02</v>
      </c>
      <c r="G18" s="6"/>
    </row>
    <row r="19" spans="1:7" ht="30" customHeight="1">
      <c r="A19" s="6">
        <v>17</v>
      </c>
      <c r="B19" s="6" t="str">
        <f>"39212022051712110733337"</f>
        <v>39212022051712110733337</v>
      </c>
      <c r="C19" s="6" t="s">
        <v>12</v>
      </c>
      <c r="D19" s="6" t="str">
        <f>"庄雪"</f>
        <v>庄雪</v>
      </c>
      <c r="E19" s="6" t="str">
        <f>"女"</f>
        <v>女</v>
      </c>
      <c r="F19" s="6" t="str">
        <f>"1997-11-11"</f>
        <v>1997-11-11</v>
      </c>
      <c r="G19" s="6"/>
    </row>
    <row r="20" spans="1:7" ht="30" customHeight="1">
      <c r="A20" s="6">
        <v>18</v>
      </c>
      <c r="B20" s="6" t="str">
        <f>"39212022051716180733695"</f>
        <v>39212022051716180733695</v>
      </c>
      <c r="C20" s="6" t="s">
        <v>12</v>
      </c>
      <c r="D20" s="6" t="str">
        <f>"李沛竹"</f>
        <v>李沛竹</v>
      </c>
      <c r="E20" s="6" t="str">
        <f>"女"</f>
        <v>女</v>
      </c>
      <c r="F20" s="6" t="str">
        <f>"1996-08-07"</f>
        <v>1996-08-07</v>
      </c>
      <c r="G20" s="6"/>
    </row>
    <row r="21" spans="1:7" ht="30" customHeight="1">
      <c r="A21" s="6">
        <v>19</v>
      </c>
      <c r="B21" s="6" t="str">
        <f>"3921202205120909007145"</f>
        <v>3921202205120909007145</v>
      </c>
      <c r="C21" s="6" t="s">
        <v>13</v>
      </c>
      <c r="D21" s="6" t="str">
        <f>"邢美香"</f>
        <v>邢美香</v>
      </c>
      <c r="E21" s="6" t="str">
        <f>"女"</f>
        <v>女</v>
      </c>
      <c r="F21" s="6" t="str">
        <f>"2001-01-03"</f>
        <v>2001-01-03</v>
      </c>
      <c r="G21" s="6"/>
    </row>
    <row r="22" spans="1:7" ht="30" customHeight="1">
      <c r="A22" s="6">
        <v>20</v>
      </c>
      <c r="B22" s="6" t="str">
        <f>"3921202205121027597591"</f>
        <v>3921202205121027597591</v>
      </c>
      <c r="C22" s="6" t="s">
        <v>13</v>
      </c>
      <c r="D22" s="6" t="str">
        <f>"曾嘉煜"</f>
        <v>曾嘉煜</v>
      </c>
      <c r="E22" s="6" t="str">
        <f>"男"</f>
        <v>男</v>
      </c>
      <c r="F22" s="6" t="str">
        <f>"2000-07-07"</f>
        <v>2000-07-07</v>
      </c>
      <c r="G22" s="6"/>
    </row>
    <row r="23" spans="1:7" ht="30" customHeight="1">
      <c r="A23" s="6">
        <v>21</v>
      </c>
      <c r="B23" s="6" t="str">
        <f>"3921202205121039497650"</f>
        <v>3921202205121039497650</v>
      </c>
      <c r="C23" s="6" t="s">
        <v>13</v>
      </c>
      <c r="D23" s="6" t="str">
        <f>"陈善绵"</f>
        <v>陈善绵</v>
      </c>
      <c r="E23" s="6" t="str">
        <f>"女"</f>
        <v>女</v>
      </c>
      <c r="F23" s="6" t="str">
        <f>"1999-11-05"</f>
        <v>1999-11-05</v>
      </c>
      <c r="G23" s="6"/>
    </row>
    <row r="24" spans="1:7" ht="30" customHeight="1">
      <c r="A24" s="6">
        <v>22</v>
      </c>
      <c r="B24" s="6" t="str">
        <f>"3921202205121336188118"</f>
        <v>3921202205121336188118</v>
      </c>
      <c r="C24" s="6" t="s">
        <v>13</v>
      </c>
      <c r="D24" s="6" t="str">
        <f>"刘珍珍"</f>
        <v>刘珍珍</v>
      </c>
      <c r="E24" s="6" t="str">
        <f>"女"</f>
        <v>女</v>
      </c>
      <c r="F24" s="6" t="str">
        <f>"2000-04-20"</f>
        <v>2000-04-20</v>
      </c>
      <c r="G24" s="6"/>
    </row>
    <row r="25" spans="1:7" ht="30" customHeight="1">
      <c r="A25" s="6">
        <v>23</v>
      </c>
      <c r="B25" s="6" t="str">
        <f>"3921202205122247269180"</f>
        <v>3921202205122247269180</v>
      </c>
      <c r="C25" s="6" t="s">
        <v>13</v>
      </c>
      <c r="D25" s="6" t="str">
        <f>"于涵"</f>
        <v>于涵</v>
      </c>
      <c r="E25" s="6" t="str">
        <f>"女"</f>
        <v>女</v>
      </c>
      <c r="F25" s="6" t="str">
        <f>"2000-08-27"</f>
        <v>2000-08-27</v>
      </c>
      <c r="G25" s="6"/>
    </row>
    <row r="26" spans="1:7" ht="30" customHeight="1">
      <c r="A26" s="6">
        <v>24</v>
      </c>
      <c r="B26" s="6" t="str">
        <f>"39212022051318144123295"</f>
        <v>39212022051318144123295</v>
      </c>
      <c r="C26" s="6" t="s">
        <v>13</v>
      </c>
      <c r="D26" s="6" t="str">
        <f>"高元勋"</f>
        <v>高元勋</v>
      </c>
      <c r="E26" s="6" t="str">
        <f>"男"</f>
        <v>男</v>
      </c>
      <c r="F26" s="6" t="str">
        <f>"1998-10-08"</f>
        <v>1998-10-08</v>
      </c>
      <c r="G26" s="6"/>
    </row>
    <row r="27" spans="1:7" ht="30" customHeight="1">
      <c r="A27" s="6">
        <v>25</v>
      </c>
      <c r="B27" s="6" t="str">
        <f>"39212022051523431531244"</f>
        <v>39212022051523431531244</v>
      </c>
      <c r="C27" s="6" t="s">
        <v>13</v>
      </c>
      <c r="D27" s="6" t="str">
        <f>"黄栩"</f>
        <v>黄栩</v>
      </c>
      <c r="E27" s="6" t="str">
        <f>"女"</f>
        <v>女</v>
      </c>
      <c r="F27" s="6" t="str">
        <f>"1999-08-25"</f>
        <v>1999-08-25</v>
      </c>
      <c r="G27" s="6"/>
    </row>
    <row r="28" spans="1:7" ht="30" customHeight="1">
      <c r="A28" s="6">
        <v>26</v>
      </c>
      <c r="B28" s="6" t="str">
        <f>"39212022051609173431378"</f>
        <v>39212022051609173431378</v>
      </c>
      <c r="C28" s="6" t="s">
        <v>13</v>
      </c>
      <c r="D28" s="6" t="str">
        <f>"高欢"</f>
        <v>高欢</v>
      </c>
      <c r="E28" s="6" t="str">
        <f>"男"</f>
        <v>男</v>
      </c>
      <c r="F28" s="6" t="str">
        <f>"1998-11-09"</f>
        <v>1998-11-09</v>
      </c>
      <c r="G28" s="6"/>
    </row>
    <row r="29" spans="1:7" ht="30" customHeight="1">
      <c r="A29" s="6">
        <v>27</v>
      </c>
      <c r="B29" s="6" t="str">
        <f>"39212022051615494431946"</f>
        <v>39212022051615494431946</v>
      </c>
      <c r="C29" s="6" t="s">
        <v>13</v>
      </c>
      <c r="D29" s="6" t="str">
        <f>"张玉婷"</f>
        <v>张玉婷</v>
      </c>
      <c r="E29" s="6" t="str">
        <f>"女"</f>
        <v>女</v>
      </c>
      <c r="F29" s="6" t="str">
        <f>"1999-06-18"</f>
        <v>1999-06-18</v>
      </c>
      <c r="G29" s="6"/>
    </row>
    <row r="30" spans="1:7" ht="30" customHeight="1">
      <c r="A30" s="6">
        <v>28</v>
      </c>
      <c r="B30" s="6" t="str">
        <f>"39212022051719262333967"</f>
        <v>39212022051719262333967</v>
      </c>
      <c r="C30" s="6" t="s">
        <v>13</v>
      </c>
      <c r="D30" s="6" t="str">
        <f>"邢慧珠"</f>
        <v>邢慧珠</v>
      </c>
      <c r="E30" s="6" t="str">
        <f>"女"</f>
        <v>女</v>
      </c>
      <c r="F30" s="6" t="str">
        <f>"1999-02-14"</f>
        <v>1999-02-14</v>
      </c>
      <c r="G30" s="6"/>
    </row>
    <row r="31" spans="1:7" ht="30" customHeight="1">
      <c r="A31" s="6">
        <v>29</v>
      </c>
      <c r="B31" s="6" t="str">
        <f>"39212022051721534234526"</f>
        <v>39212022051721534234526</v>
      </c>
      <c r="C31" s="6" t="s">
        <v>13</v>
      </c>
      <c r="D31" s="6" t="str">
        <f>"杨晨"</f>
        <v>杨晨</v>
      </c>
      <c r="E31" s="6" t="str">
        <f>"女"</f>
        <v>女</v>
      </c>
      <c r="F31" s="6" t="str">
        <f>"1995-09-24"</f>
        <v>1995-09-24</v>
      </c>
      <c r="G31" s="6"/>
    </row>
    <row r="32" spans="1:7" ht="30" customHeight="1">
      <c r="A32" s="6">
        <v>30</v>
      </c>
      <c r="B32" s="6" t="str">
        <f>"39212022051616153532143"</f>
        <v>39212022051616153532143</v>
      </c>
      <c r="C32" s="6" t="s">
        <v>14</v>
      </c>
      <c r="D32" s="6" t="str">
        <f>"赵明"</f>
        <v>赵明</v>
      </c>
      <c r="E32" s="6" t="str">
        <f>"男"</f>
        <v>男</v>
      </c>
      <c r="F32" s="6" t="str">
        <f>"1993-03-29"</f>
        <v>1993-03-29</v>
      </c>
      <c r="G32" s="6"/>
    </row>
    <row r="33" spans="1:7" ht="30" customHeight="1">
      <c r="A33" s="6">
        <v>31</v>
      </c>
      <c r="B33" s="6" t="str">
        <f>"3921202205122235509167"</f>
        <v>3921202205122235509167</v>
      </c>
      <c r="C33" s="6" t="s">
        <v>15</v>
      </c>
      <c r="D33" s="6" t="str">
        <f>"李华"</f>
        <v>李华</v>
      </c>
      <c r="E33" s="6" t="str">
        <f>"男"</f>
        <v>男</v>
      </c>
      <c r="F33" s="6" t="str">
        <f>"1996-08-02"</f>
        <v>1996-08-02</v>
      </c>
      <c r="G33" s="6"/>
    </row>
    <row r="34" spans="1:7" ht="30" customHeight="1">
      <c r="A34" s="6">
        <v>32</v>
      </c>
      <c r="B34" s="6" t="str">
        <f>"3921202205131443479832"</f>
        <v>3921202205131443479832</v>
      </c>
      <c r="C34" s="6" t="s">
        <v>15</v>
      </c>
      <c r="D34" s="6" t="str">
        <f>"赵越"</f>
        <v>赵越</v>
      </c>
      <c r="E34" s="6" t="str">
        <f>"女"</f>
        <v>女</v>
      </c>
      <c r="F34" s="6" t="str">
        <f>"1995-11-15"</f>
        <v>1995-11-15</v>
      </c>
      <c r="G34" s="6"/>
    </row>
    <row r="35" spans="1:7" ht="30" customHeight="1">
      <c r="A35" s="6">
        <v>33</v>
      </c>
      <c r="B35" s="6" t="str">
        <f>"39212022051517500231021"</f>
        <v>39212022051517500231021</v>
      </c>
      <c r="C35" s="6" t="s">
        <v>15</v>
      </c>
      <c r="D35" s="6" t="str">
        <f>"陈晶娜"</f>
        <v>陈晶娜</v>
      </c>
      <c r="E35" s="6" t="str">
        <f>"女"</f>
        <v>女</v>
      </c>
      <c r="F35" s="6" t="str">
        <f>"1995-12-10"</f>
        <v>1995-12-10</v>
      </c>
      <c r="G35" s="6"/>
    </row>
    <row r="36" spans="1:7" ht="30" customHeight="1">
      <c r="A36" s="6">
        <v>34</v>
      </c>
      <c r="B36" s="6" t="str">
        <f>"39212022051622151432839"</f>
        <v>39212022051622151432839</v>
      </c>
      <c r="C36" s="6" t="s">
        <v>15</v>
      </c>
      <c r="D36" s="6" t="str">
        <f>"潘孝能"</f>
        <v>潘孝能</v>
      </c>
      <c r="E36" s="6" t="str">
        <f>"男"</f>
        <v>男</v>
      </c>
      <c r="F36" s="6" t="str">
        <f>"1993-02-14"</f>
        <v>1993-02-14</v>
      </c>
      <c r="G36" s="6"/>
    </row>
    <row r="37" spans="1:7" ht="30" customHeight="1">
      <c r="A37" s="6">
        <v>35</v>
      </c>
      <c r="B37" s="6" t="str">
        <f>"39212022051716051433670"</f>
        <v>39212022051716051433670</v>
      </c>
      <c r="C37" s="6" t="s">
        <v>15</v>
      </c>
      <c r="D37" s="6" t="str">
        <f>"孙学武"</f>
        <v>孙学武</v>
      </c>
      <c r="E37" s="6" t="str">
        <f>"男"</f>
        <v>男</v>
      </c>
      <c r="F37" s="6" t="str">
        <f>"1992-10-02"</f>
        <v>1992-10-02</v>
      </c>
      <c r="G37" s="6"/>
    </row>
    <row r="38" spans="1:7" ht="30" customHeight="1">
      <c r="A38" s="6">
        <v>36</v>
      </c>
      <c r="B38" s="6" t="str">
        <f>"39212022051717105033776"</f>
        <v>39212022051717105033776</v>
      </c>
      <c r="C38" s="6" t="s">
        <v>15</v>
      </c>
      <c r="D38" s="6" t="str">
        <f>"王翠"</f>
        <v>王翠</v>
      </c>
      <c r="E38" s="6" t="str">
        <f>"女"</f>
        <v>女</v>
      </c>
      <c r="F38" s="6" t="str">
        <f>"1995-02-28"</f>
        <v>1995-02-28</v>
      </c>
      <c r="G38" s="6"/>
    </row>
    <row r="39" spans="1:7" ht="30" customHeight="1">
      <c r="A39" s="6">
        <v>37</v>
      </c>
      <c r="B39" s="6" t="str">
        <f>"3921202205120958127448"</f>
        <v>3921202205120958127448</v>
      </c>
      <c r="C39" s="6" t="s">
        <v>16</v>
      </c>
      <c r="D39" s="6" t="str">
        <f>"王海刚"</f>
        <v>王海刚</v>
      </c>
      <c r="E39" s="6" t="str">
        <f aca="true" t="shared" si="0" ref="E39:E48">"男"</f>
        <v>男</v>
      </c>
      <c r="F39" s="6" t="str">
        <f>"1995-02-18"</f>
        <v>1995-02-18</v>
      </c>
      <c r="G39" s="6"/>
    </row>
    <row r="40" spans="1:7" ht="30" customHeight="1">
      <c r="A40" s="6">
        <v>38</v>
      </c>
      <c r="B40" s="6" t="str">
        <f>"3921202205131247319694"</f>
        <v>3921202205131247319694</v>
      </c>
      <c r="C40" s="6" t="s">
        <v>16</v>
      </c>
      <c r="D40" s="6" t="str">
        <f>"满艺璁"</f>
        <v>满艺璁</v>
      </c>
      <c r="E40" s="6" t="str">
        <f t="shared" si="0"/>
        <v>男</v>
      </c>
      <c r="F40" s="6" t="str">
        <f>"1996-01-30"</f>
        <v>1996-01-30</v>
      </c>
      <c r="G40" s="6"/>
    </row>
    <row r="41" spans="1:7" ht="30" customHeight="1">
      <c r="A41" s="6">
        <v>39</v>
      </c>
      <c r="B41" s="6" t="str">
        <f>"39212022051317162110076"</f>
        <v>39212022051317162110076</v>
      </c>
      <c r="C41" s="6" t="s">
        <v>16</v>
      </c>
      <c r="D41" s="6" t="str">
        <f>"薛炳鹤"</f>
        <v>薛炳鹤</v>
      </c>
      <c r="E41" s="6" t="str">
        <f t="shared" si="0"/>
        <v>男</v>
      </c>
      <c r="F41" s="6" t="str">
        <f>"1994-06-22"</f>
        <v>1994-06-22</v>
      </c>
      <c r="G41" s="6"/>
    </row>
    <row r="42" spans="1:7" ht="30" customHeight="1">
      <c r="A42" s="6">
        <v>40</v>
      </c>
      <c r="B42" s="6" t="str">
        <f>"39212022051517185231002"</f>
        <v>39212022051517185231002</v>
      </c>
      <c r="C42" s="6" t="s">
        <v>16</v>
      </c>
      <c r="D42" s="6" t="str">
        <f>"符理俊"</f>
        <v>符理俊</v>
      </c>
      <c r="E42" s="6" t="str">
        <f t="shared" si="0"/>
        <v>男</v>
      </c>
      <c r="F42" s="6" t="str">
        <f>"1992-07-06"</f>
        <v>1992-07-06</v>
      </c>
      <c r="G42" s="6"/>
    </row>
    <row r="43" spans="1:7" ht="30" customHeight="1">
      <c r="A43" s="6">
        <v>41</v>
      </c>
      <c r="B43" s="6" t="str">
        <f>"39212022051521104631157"</f>
        <v>39212022051521104631157</v>
      </c>
      <c r="C43" s="6" t="s">
        <v>16</v>
      </c>
      <c r="D43" s="6" t="str">
        <f>"韩鹏涛"</f>
        <v>韩鹏涛</v>
      </c>
      <c r="E43" s="6" t="str">
        <f t="shared" si="0"/>
        <v>男</v>
      </c>
      <c r="F43" s="6" t="str">
        <f>"1993-12-21"</f>
        <v>1993-12-21</v>
      </c>
      <c r="G43" s="6"/>
    </row>
    <row r="44" spans="1:7" ht="30" customHeight="1">
      <c r="A44" s="6">
        <v>42</v>
      </c>
      <c r="B44" s="6" t="str">
        <f>"39212022051616280632223"</f>
        <v>39212022051616280632223</v>
      </c>
      <c r="C44" s="6" t="s">
        <v>16</v>
      </c>
      <c r="D44" s="6" t="str">
        <f>"赵新宇"</f>
        <v>赵新宇</v>
      </c>
      <c r="E44" s="6" t="str">
        <f t="shared" si="0"/>
        <v>男</v>
      </c>
      <c r="F44" s="6" t="str">
        <f>"1996-11-01"</f>
        <v>1996-11-01</v>
      </c>
      <c r="G44" s="6"/>
    </row>
    <row r="45" spans="1:7" ht="30" customHeight="1">
      <c r="A45" s="6">
        <v>43</v>
      </c>
      <c r="B45" s="6" t="str">
        <f>"39212022051617352032467"</f>
        <v>39212022051617352032467</v>
      </c>
      <c r="C45" s="6" t="s">
        <v>16</v>
      </c>
      <c r="D45" s="6" t="str">
        <f>"梁则徐"</f>
        <v>梁则徐</v>
      </c>
      <c r="E45" s="6" t="str">
        <f t="shared" si="0"/>
        <v>男</v>
      </c>
      <c r="F45" s="6" t="str">
        <f>"1996-06-15"</f>
        <v>1996-06-15</v>
      </c>
      <c r="G45" s="6"/>
    </row>
    <row r="46" spans="1:7" ht="30" customHeight="1">
      <c r="A46" s="6">
        <v>44</v>
      </c>
      <c r="B46" s="6" t="str">
        <f>"39212022051719412833983"</f>
        <v>39212022051719412833983</v>
      </c>
      <c r="C46" s="6" t="s">
        <v>16</v>
      </c>
      <c r="D46" s="6" t="str">
        <f>"吴瑞瑞"</f>
        <v>吴瑞瑞</v>
      </c>
      <c r="E46" s="6" t="str">
        <f t="shared" si="0"/>
        <v>男</v>
      </c>
      <c r="F46" s="6" t="str">
        <f>"1992-01-03"</f>
        <v>1992-01-03</v>
      </c>
      <c r="G46" s="6"/>
    </row>
    <row r="47" spans="1:7" ht="30" customHeight="1">
      <c r="A47" s="6">
        <v>45</v>
      </c>
      <c r="B47" s="6" t="str">
        <f>"39212022051720414734251"</f>
        <v>39212022051720414734251</v>
      </c>
      <c r="C47" s="6" t="s">
        <v>16</v>
      </c>
      <c r="D47" s="6" t="str">
        <f>"黎永乐"</f>
        <v>黎永乐</v>
      </c>
      <c r="E47" s="6" t="str">
        <f t="shared" si="0"/>
        <v>男</v>
      </c>
      <c r="F47" s="6" t="str">
        <f>"1991-09-01"</f>
        <v>1991-09-01</v>
      </c>
      <c r="G47" s="6"/>
    </row>
    <row r="48" spans="1:7" ht="30" customHeight="1">
      <c r="A48" s="6">
        <v>46</v>
      </c>
      <c r="B48" s="6" t="str">
        <f>"39212022051723390634804"</f>
        <v>39212022051723390634804</v>
      </c>
      <c r="C48" s="6" t="s">
        <v>16</v>
      </c>
      <c r="D48" s="6" t="str">
        <f>"许隆"</f>
        <v>许隆</v>
      </c>
      <c r="E48" s="6" t="str">
        <f t="shared" si="0"/>
        <v>男</v>
      </c>
      <c r="F48" s="6" t="str">
        <f>"1993-05-27"</f>
        <v>1993-05-27</v>
      </c>
      <c r="G48" s="6"/>
    </row>
    <row r="49" spans="1:7" ht="30" customHeight="1">
      <c r="A49" s="6">
        <v>47</v>
      </c>
      <c r="B49" s="6" t="str">
        <f>"3921202205121525148337"</f>
        <v>3921202205121525148337</v>
      </c>
      <c r="C49" s="6" t="s">
        <v>17</v>
      </c>
      <c r="D49" s="6" t="str">
        <f>"张玉婷"</f>
        <v>张玉婷</v>
      </c>
      <c r="E49" s="6" t="str">
        <f>"女"</f>
        <v>女</v>
      </c>
      <c r="F49" s="6" t="str">
        <f>"1994-03-14"</f>
        <v>1994-03-14</v>
      </c>
      <c r="G49" s="6"/>
    </row>
    <row r="50" spans="1:7" ht="30" customHeight="1">
      <c r="A50" s="6">
        <v>48</v>
      </c>
      <c r="B50" s="6" t="str">
        <f>"39212022051317161610074"</f>
        <v>39212022051317161610074</v>
      </c>
      <c r="C50" s="6" t="s">
        <v>17</v>
      </c>
      <c r="D50" s="6" t="str">
        <f>"杜玉"</f>
        <v>杜玉</v>
      </c>
      <c r="E50" s="6" t="str">
        <f>"女"</f>
        <v>女</v>
      </c>
      <c r="F50" s="6" t="str">
        <f>"1992-05-23"</f>
        <v>1992-05-23</v>
      </c>
      <c r="G50" s="6"/>
    </row>
    <row r="51" spans="1:7" ht="30" customHeight="1">
      <c r="A51" s="6">
        <v>49</v>
      </c>
      <c r="B51" s="6" t="str">
        <f>"3921202205121437378222"</f>
        <v>3921202205121437378222</v>
      </c>
      <c r="C51" s="6" t="s">
        <v>18</v>
      </c>
      <c r="D51" s="6" t="str">
        <f>"戴宁"</f>
        <v>戴宁</v>
      </c>
      <c r="E51" s="6" t="str">
        <f>"女"</f>
        <v>女</v>
      </c>
      <c r="F51" s="6" t="str">
        <f>"1992-09-19"</f>
        <v>1992-09-19</v>
      </c>
      <c r="G51" s="6"/>
    </row>
    <row r="52" spans="1:7" ht="30" customHeight="1">
      <c r="A52" s="6">
        <v>50</v>
      </c>
      <c r="B52" s="6" t="str">
        <f>"3921202205122113309028"</f>
        <v>3921202205122113309028</v>
      </c>
      <c r="C52" s="6" t="s">
        <v>18</v>
      </c>
      <c r="D52" s="6" t="str">
        <f>"肖威"</f>
        <v>肖威</v>
      </c>
      <c r="E52" s="6" t="str">
        <f>"男"</f>
        <v>男</v>
      </c>
      <c r="F52" s="6" t="str">
        <f>"1990-08-29"</f>
        <v>1990-08-29</v>
      </c>
      <c r="G52" s="6"/>
    </row>
    <row r="53" spans="1:7" ht="30" customHeight="1">
      <c r="A53" s="6">
        <v>51</v>
      </c>
      <c r="B53" s="6" t="str">
        <f>"3921202205122313089205"</f>
        <v>3921202205122313089205</v>
      </c>
      <c r="C53" s="6" t="s">
        <v>18</v>
      </c>
      <c r="D53" s="6" t="str">
        <f>"孙天石"</f>
        <v>孙天石</v>
      </c>
      <c r="E53" s="6" t="str">
        <f>"男"</f>
        <v>男</v>
      </c>
      <c r="F53" s="6" t="str">
        <f>"1992-04-27"</f>
        <v>1992-04-27</v>
      </c>
      <c r="G53" s="6"/>
    </row>
    <row r="54" spans="1:7" ht="30" customHeight="1">
      <c r="A54" s="6">
        <v>52</v>
      </c>
      <c r="B54" s="6" t="str">
        <f>"39212022051316365910011"</f>
        <v>39212022051316365910011</v>
      </c>
      <c r="C54" s="6" t="s">
        <v>18</v>
      </c>
      <c r="D54" s="6" t="str">
        <f>"白凤媛"</f>
        <v>白凤媛</v>
      </c>
      <c r="E54" s="6" t="str">
        <f>"女"</f>
        <v>女</v>
      </c>
      <c r="F54" s="6" t="str">
        <f>"1992-12-04"</f>
        <v>1992-12-04</v>
      </c>
      <c r="G54" s="6"/>
    </row>
    <row r="55" spans="1:7" ht="30" customHeight="1">
      <c r="A55" s="6">
        <v>53</v>
      </c>
      <c r="B55" s="6" t="str">
        <f>"3921202205120825507035"</f>
        <v>3921202205120825507035</v>
      </c>
      <c r="C55" s="6" t="s">
        <v>19</v>
      </c>
      <c r="D55" s="6" t="str">
        <f>"林相扶"</f>
        <v>林相扶</v>
      </c>
      <c r="E55" s="6" t="str">
        <f>"男"</f>
        <v>男</v>
      </c>
      <c r="F55" s="6" t="str">
        <f>"1996-07-14"</f>
        <v>1996-07-14</v>
      </c>
      <c r="G55" s="6"/>
    </row>
    <row r="56" spans="1:7" ht="30" customHeight="1">
      <c r="A56" s="6">
        <v>54</v>
      </c>
      <c r="B56" s="6" t="str">
        <f>"3921202205120952147418"</f>
        <v>3921202205120952147418</v>
      </c>
      <c r="C56" s="6" t="s">
        <v>19</v>
      </c>
      <c r="D56" s="6" t="str">
        <f>"刘璐"</f>
        <v>刘璐</v>
      </c>
      <c r="E56" s="6" t="str">
        <f>"女"</f>
        <v>女</v>
      </c>
      <c r="F56" s="6" t="str">
        <f>"1996-12-21"</f>
        <v>1996-12-21</v>
      </c>
      <c r="G56" s="6"/>
    </row>
    <row r="57" spans="1:7" ht="30" customHeight="1">
      <c r="A57" s="6">
        <v>55</v>
      </c>
      <c r="B57" s="6" t="str">
        <f>"3921202205121007227485"</f>
        <v>3921202205121007227485</v>
      </c>
      <c r="C57" s="6" t="s">
        <v>19</v>
      </c>
      <c r="D57" s="6" t="str">
        <f>"陈福右"</f>
        <v>陈福右</v>
      </c>
      <c r="E57" s="6" t="str">
        <f>"男"</f>
        <v>男</v>
      </c>
      <c r="F57" s="6" t="str">
        <f>"1994-03-01"</f>
        <v>1994-03-01</v>
      </c>
      <c r="G57" s="6"/>
    </row>
    <row r="58" spans="1:7" ht="30" customHeight="1">
      <c r="A58" s="6">
        <v>56</v>
      </c>
      <c r="B58" s="6" t="str">
        <f>"3921202205121351258144"</f>
        <v>3921202205121351258144</v>
      </c>
      <c r="C58" s="6" t="s">
        <v>19</v>
      </c>
      <c r="D58" s="6" t="str">
        <f>"邢思宁"</f>
        <v>邢思宁</v>
      </c>
      <c r="E58" s="6" t="str">
        <f>"女"</f>
        <v>女</v>
      </c>
      <c r="F58" s="6" t="str">
        <f>"1995-09-29"</f>
        <v>1995-09-29</v>
      </c>
      <c r="G58" s="6"/>
    </row>
    <row r="59" spans="1:7" ht="30" customHeight="1">
      <c r="A59" s="6">
        <v>57</v>
      </c>
      <c r="B59" s="6" t="str">
        <f>"3921202205121413298189"</f>
        <v>3921202205121413298189</v>
      </c>
      <c r="C59" s="6" t="s">
        <v>19</v>
      </c>
      <c r="D59" s="6" t="str">
        <f>"黄开达"</f>
        <v>黄开达</v>
      </c>
      <c r="E59" s="6" t="str">
        <f>"男"</f>
        <v>男</v>
      </c>
      <c r="F59" s="6" t="str">
        <f>"1991-12-12"</f>
        <v>1991-12-12</v>
      </c>
      <c r="G59" s="6"/>
    </row>
    <row r="60" spans="1:7" ht="30" customHeight="1">
      <c r="A60" s="6">
        <v>58</v>
      </c>
      <c r="B60" s="6" t="str">
        <f>"3921202205121545508398"</f>
        <v>3921202205121545508398</v>
      </c>
      <c r="C60" s="6" t="s">
        <v>19</v>
      </c>
      <c r="D60" s="6" t="str">
        <f>"廖华蕊"</f>
        <v>廖华蕊</v>
      </c>
      <c r="E60" s="6" t="str">
        <f>"女"</f>
        <v>女</v>
      </c>
      <c r="F60" s="6" t="str">
        <f>"1994-10-07"</f>
        <v>1994-10-07</v>
      </c>
      <c r="G60" s="6"/>
    </row>
    <row r="61" spans="1:7" ht="30" customHeight="1">
      <c r="A61" s="6">
        <v>59</v>
      </c>
      <c r="B61" s="6" t="str">
        <f>"3921202205121631358516"</f>
        <v>3921202205121631358516</v>
      </c>
      <c r="C61" s="6" t="s">
        <v>19</v>
      </c>
      <c r="D61" s="6" t="str">
        <f>"黎梦竹"</f>
        <v>黎梦竹</v>
      </c>
      <c r="E61" s="6" t="str">
        <f>"女"</f>
        <v>女</v>
      </c>
      <c r="F61" s="6" t="str">
        <f>"1993-09-20"</f>
        <v>1993-09-20</v>
      </c>
      <c r="G61" s="6"/>
    </row>
    <row r="62" spans="1:7" ht="30" customHeight="1">
      <c r="A62" s="6">
        <v>60</v>
      </c>
      <c r="B62" s="6" t="str">
        <f>"3921202205121658138576"</f>
        <v>3921202205121658138576</v>
      </c>
      <c r="C62" s="6" t="s">
        <v>19</v>
      </c>
      <c r="D62" s="6" t="str">
        <f>"陈俊潼"</f>
        <v>陈俊潼</v>
      </c>
      <c r="E62" s="6" t="str">
        <f>"男"</f>
        <v>男</v>
      </c>
      <c r="F62" s="6" t="str">
        <f>"1992-07-13"</f>
        <v>1992-07-13</v>
      </c>
      <c r="G62" s="6"/>
    </row>
    <row r="63" spans="1:7" ht="30" customHeight="1">
      <c r="A63" s="6">
        <v>61</v>
      </c>
      <c r="B63" s="6" t="str">
        <f>"3921202205121822068721"</f>
        <v>3921202205121822068721</v>
      </c>
      <c r="C63" s="6" t="s">
        <v>19</v>
      </c>
      <c r="D63" s="6" t="str">
        <f>"梁新蕾"</f>
        <v>梁新蕾</v>
      </c>
      <c r="E63" s="6" t="str">
        <f>"女"</f>
        <v>女</v>
      </c>
      <c r="F63" s="6" t="str">
        <f>"1993-12-27"</f>
        <v>1993-12-27</v>
      </c>
      <c r="G63" s="6"/>
    </row>
    <row r="64" spans="1:7" ht="30" customHeight="1">
      <c r="A64" s="6">
        <v>62</v>
      </c>
      <c r="B64" s="6" t="str">
        <f>"3921202205121824118723"</f>
        <v>3921202205121824118723</v>
      </c>
      <c r="C64" s="6" t="s">
        <v>19</v>
      </c>
      <c r="D64" s="6" t="str">
        <f>"曾婆翠"</f>
        <v>曾婆翠</v>
      </c>
      <c r="E64" s="6" t="str">
        <f>"女"</f>
        <v>女</v>
      </c>
      <c r="F64" s="6" t="str">
        <f>"1994-10-12"</f>
        <v>1994-10-12</v>
      </c>
      <c r="G64" s="6"/>
    </row>
    <row r="65" spans="1:7" ht="30" customHeight="1">
      <c r="A65" s="6">
        <v>63</v>
      </c>
      <c r="B65" s="6" t="str">
        <f>"3921202205121959238858"</f>
        <v>3921202205121959238858</v>
      </c>
      <c r="C65" s="6" t="s">
        <v>19</v>
      </c>
      <c r="D65" s="6" t="str">
        <f>"邱宇江"</f>
        <v>邱宇江</v>
      </c>
      <c r="E65" s="6" t="str">
        <f>"男"</f>
        <v>男</v>
      </c>
      <c r="F65" s="6" t="str">
        <f>"1993-01-13"</f>
        <v>1993-01-13</v>
      </c>
      <c r="G65" s="6"/>
    </row>
    <row r="66" spans="1:7" ht="30" customHeight="1">
      <c r="A66" s="6">
        <v>64</v>
      </c>
      <c r="B66" s="6" t="str">
        <f>"3921202205122327279217"</f>
        <v>3921202205122327279217</v>
      </c>
      <c r="C66" s="6" t="s">
        <v>19</v>
      </c>
      <c r="D66" s="6" t="str">
        <f>"白岚"</f>
        <v>白岚</v>
      </c>
      <c r="E66" s="6" t="str">
        <f>"女"</f>
        <v>女</v>
      </c>
      <c r="F66" s="6" t="str">
        <f>"1992-01-29"</f>
        <v>1992-01-29</v>
      </c>
      <c r="G66" s="6"/>
    </row>
    <row r="67" spans="1:7" ht="30" customHeight="1">
      <c r="A67" s="6">
        <v>65</v>
      </c>
      <c r="B67" s="6" t="str">
        <f>"3921202205130839019299"</f>
        <v>3921202205130839019299</v>
      </c>
      <c r="C67" s="6" t="s">
        <v>19</v>
      </c>
      <c r="D67" s="6" t="str">
        <f>"于耀焜"</f>
        <v>于耀焜</v>
      </c>
      <c r="E67" s="6" t="str">
        <f>"男"</f>
        <v>男</v>
      </c>
      <c r="F67" s="6" t="str">
        <f>"1992-12-15"</f>
        <v>1992-12-15</v>
      </c>
      <c r="G67" s="6"/>
    </row>
    <row r="68" spans="1:7" ht="30" customHeight="1">
      <c r="A68" s="6">
        <v>66</v>
      </c>
      <c r="B68" s="6" t="str">
        <f>"3921202205131245149690"</f>
        <v>3921202205131245149690</v>
      </c>
      <c r="C68" s="6" t="s">
        <v>19</v>
      </c>
      <c r="D68" s="6" t="str">
        <f>"于丽影"</f>
        <v>于丽影</v>
      </c>
      <c r="E68" s="6" t="str">
        <f>"女"</f>
        <v>女</v>
      </c>
      <c r="F68" s="6" t="str">
        <f>"1996-11-01"</f>
        <v>1996-11-01</v>
      </c>
      <c r="G68" s="6"/>
    </row>
    <row r="69" spans="1:7" ht="30" customHeight="1">
      <c r="A69" s="6">
        <v>67</v>
      </c>
      <c r="B69" s="6" t="str">
        <f>"3921202205131254469711"</f>
        <v>3921202205131254469711</v>
      </c>
      <c r="C69" s="6" t="s">
        <v>19</v>
      </c>
      <c r="D69" s="6" t="str">
        <f>"王秋听"</f>
        <v>王秋听</v>
      </c>
      <c r="E69" s="6" t="str">
        <f>"女"</f>
        <v>女</v>
      </c>
      <c r="F69" s="6" t="str">
        <f>"1991-08-09"</f>
        <v>1991-08-09</v>
      </c>
      <c r="G69" s="6"/>
    </row>
    <row r="70" spans="1:7" ht="30" customHeight="1">
      <c r="A70" s="6">
        <v>68</v>
      </c>
      <c r="B70" s="6" t="str">
        <f>"39212022051317485518095"</f>
        <v>39212022051317485518095</v>
      </c>
      <c r="C70" s="6" t="s">
        <v>19</v>
      </c>
      <c r="D70" s="6" t="str">
        <f>"曾纪樑"</f>
        <v>曾纪樑</v>
      </c>
      <c r="E70" s="6" t="str">
        <f>"男"</f>
        <v>男</v>
      </c>
      <c r="F70" s="6" t="str">
        <f>"1990-10-10"</f>
        <v>1990-10-10</v>
      </c>
      <c r="G70" s="6"/>
    </row>
    <row r="71" spans="1:7" ht="30" customHeight="1">
      <c r="A71" s="6">
        <v>69</v>
      </c>
      <c r="B71" s="6" t="str">
        <f>"39212022051410080530168"</f>
        <v>39212022051410080530168</v>
      </c>
      <c r="C71" s="6" t="s">
        <v>19</v>
      </c>
      <c r="D71" s="6" t="str">
        <f>"戚昊"</f>
        <v>戚昊</v>
      </c>
      <c r="E71" s="6" t="str">
        <f>"男"</f>
        <v>男</v>
      </c>
      <c r="F71" s="6" t="str">
        <f>"1994-09-22"</f>
        <v>1994-09-22</v>
      </c>
      <c r="G71" s="6"/>
    </row>
    <row r="72" spans="1:7" ht="30" customHeight="1">
      <c r="A72" s="6">
        <v>70</v>
      </c>
      <c r="B72" s="6" t="str">
        <f>"39212022051410185530177"</f>
        <v>39212022051410185530177</v>
      </c>
      <c r="C72" s="6" t="s">
        <v>19</v>
      </c>
      <c r="D72" s="6" t="str">
        <f>"苏孙芳"</f>
        <v>苏孙芳</v>
      </c>
      <c r="E72" s="6" t="str">
        <f>"女"</f>
        <v>女</v>
      </c>
      <c r="F72" s="6" t="str">
        <f>"1994-07-18"</f>
        <v>1994-07-18</v>
      </c>
      <c r="G72" s="6"/>
    </row>
    <row r="73" spans="1:7" ht="30" customHeight="1">
      <c r="A73" s="6">
        <v>71</v>
      </c>
      <c r="B73" s="6" t="str">
        <f>"39212022051419292030500"</f>
        <v>39212022051419292030500</v>
      </c>
      <c r="C73" s="6" t="s">
        <v>19</v>
      </c>
      <c r="D73" s="6" t="str">
        <f>"覃思敏"</f>
        <v>覃思敏</v>
      </c>
      <c r="E73" s="6" t="str">
        <f>"女"</f>
        <v>女</v>
      </c>
      <c r="F73" s="6" t="str">
        <f>"1997-01-25"</f>
        <v>1997-01-25</v>
      </c>
      <c r="G73" s="6"/>
    </row>
    <row r="74" spans="1:7" ht="30" customHeight="1">
      <c r="A74" s="6">
        <v>72</v>
      </c>
      <c r="B74" s="6" t="str">
        <f>"39212022051420224030527"</f>
        <v>39212022051420224030527</v>
      </c>
      <c r="C74" s="6" t="s">
        <v>19</v>
      </c>
      <c r="D74" s="6" t="str">
        <f>"薛琼英"</f>
        <v>薛琼英</v>
      </c>
      <c r="E74" s="6" t="str">
        <f>"女"</f>
        <v>女</v>
      </c>
      <c r="F74" s="6" t="str">
        <f>"1993-08-10"</f>
        <v>1993-08-10</v>
      </c>
      <c r="G74" s="6"/>
    </row>
    <row r="75" spans="1:7" ht="30" customHeight="1">
      <c r="A75" s="6">
        <v>73</v>
      </c>
      <c r="B75" s="6" t="str">
        <f>"39212022051422221530597"</f>
        <v>39212022051422221530597</v>
      </c>
      <c r="C75" s="6" t="s">
        <v>19</v>
      </c>
      <c r="D75" s="6" t="str">
        <f>"张明众"</f>
        <v>张明众</v>
      </c>
      <c r="E75" s="6" t="str">
        <f>"男"</f>
        <v>男</v>
      </c>
      <c r="F75" s="6" t="str">
        <f>"1996-09-11"</f>
        <v>1996-09-11</v>
      </c>
      <c r="G75" s="6"/>
    </row>
    <row r="76" spans="1:7" ht="30" customHeight="1">
      <c r="A76" s="6">
        <v>74</v>
      </c>
      <c r="B76" s="6" t="str">
        <f>"39212022051423273730623"</f>
        <v>39212022051423273730623</v>
      </c>
      <c r="C76" s="6" t="s">
        <v>19</v>
      </c>
      <c r="D76" s="6" t="str">
        <f>"刘慧宇"</f>
        <v>刘慧宇</v>
      </c>
      <c r="E76" s="6" t="str">
        <f>"男"</f>
        <v>男</v>
      </c>
      <c r="F76" s="6" t="str">
        <f>"1992-03-23"</f>
        <v>1992-03-23</v>
      </c>
      <c r="G76" s="6"/>
    </row>
    <row r="77" spans="1:7" ht="30" customHeight="1">
      <c r="A77" s="6">
        <v>75</v>
      </c>
      <c r="B77" s="6" t="str">
        <f>"39212022051500535030638"</f>
        <v>39212022051500535030638</v>
      </c>
      <c r="C77" s="6" t="s">
        <v>19</v>
      </c>
      <c r="D77" s="6" t="str">
        <f>"刘芳"</f>
        <v>刘芳</v>
      </c>
      <c r="E77" s="6" t="str">
        <f>"女"</f>
        <v>女</v>
      </c>
      <c r="F77" s="6" t="str">
        <f>"1992-02-15"</f>
        <v>1992-02-15</v>
      </c>
      <c r="G77" s="6"/>
    </row>
    <row r="78" spans="1:7" ht="30" customHeight="1">
      <c r="A78" s="6">
        <v>76</v>
      </c>
      <c r="B78" s="6" t="str">
        <f>"39212022051517523131024"</f>
        <v>39212022051517523131024</v>
      </c>
      <c r="C78" s="6" t="s">
        <v>19</v>
      </c>
      <c r="D78" s="6" t="str">
        <f>"刘萍"</f>
        <v>刘萍</v>
      </c>
      <c r="E78" s="6" t="str">
        <f>"女"</f>
        <v>女</v>
      </c>
      <c r="F78" s="6" t="str">
        <f>"1991-04-29"</f>
        <v>1991-04-29</v>
      </c>
      <c r="G78" s="6"/>
    </row>
    <row r="79" spans="1:7" ht="30" customHeight="1">
      <c r="A79" s="6">
        <v>77</v>
      </c>
      <c r="B79" s="6" t="str">
        <f>"39212022051522040031195"</f>
        <v>39212022051522040031195</v>
      </c>
      <c r="C79" s="6" t="s">
        <v>19</v>
      </c>
      <c r="D79" s="6" t="str">
        <f>"符丰勋"</f>
        <v>符丰勋</v>
      </c>
      <c r="E79" s="6" t="str">
        <f>"女"</f>
        <v>女</v>
      </c>
      <c r="F79" s="6" t="str">
        <f>"1995-07-29"</f>
        <v>1995-07-29</v>
      </c>
      <c r="G79" s="6"/>
    </row>
    <row r="80" spans="1:7" ht="30" customHeight="1">
      <c r="A80" s="6">
        <v>78</v>
      </c>
      <c r="B80" s="6" t="str">
        <f>"39212022051522321331210"</f>
        <v>39212022051522321331210</v>
      </c>
      <c r="C80" s="6" t="s">
        <v>19</v>
      </c>
      <c r="D80" s="6" t="str">
        <f>"郑忠旺"</f>
        <v>郑忠旺</v>
      </c>
      <c r="E80" s="6" t="str">
        <f>"男"</f>
        <v>男</v>
      </c>
      <c r="F80" s="6" t="str">
        <f>"1995-08-10"</f>
        <v>1995-08-10</v>
      </c>
      <c r="G80" s="6"/>
    </row>
    <row r="81" spans="1:7" ht="30" customHeight="1">
      <c r="A81" s="6">
        <v>79</v>
      </c>
      <c r="B81" s="6" t="str">
        <f>"39212022051612454331720"</f>
        <v>39212022051612454331720</v>
      </c>
      <c r="C81" s="6" t="s">
        <v>19</v>
      </c>
      <c r="D81" s="6" t="str">
        <f>"刘义"</f>
        <v>刘义</v>
      </c>
      <c r="E81" s="6" t="str">
        <f aca="true" t="shared" si="1" ref="E81:E91">"女"</f>
        <v>女</v>
      </c>
      <c r="F81" s="6" t="str">
        <f>"1995-10-25"</f>
        <v>1995-10-25</v>
      </c>
      <c r="G81" s="6"/>
    </row>
    <row r="82" spans="1:7" ht="30" customHeight="1">
      <c r="A82" s="6">
        <v>80</v>
      </c>
      <c r="B82" s="6" t="str">
        <f>"39212022051617331632465"</f>
        <v>39212022051617331632465</v>
      </c>
      <c r="C82" s="6" t="s">
        <v>19</v>
      </c>
      <c r="D82" s="6" t="str">
        <f>"黄晨"</f>
        <v>黄晨</v>
      </c>
      <c r="E82" s="6" t="str">
        <f t="shared" si="1"/>
        <v>女</v>
      </c>
      <c r="F82" s="6" t="str">
        <f>"1994-08-09"</f>
        <v>1994-08-09</v>
      </c>
      <c r="G82" s="6"/>
    </row>
    <row r="83" spans="1:7" ht="30" customHeight="1">
      <c r="A83" s="6">
        <v>81</v>
      </c>
      <c r="B83" s="6" t="str">
        <f>"39212022051618595132567"</f>
        <v>39212022051618595132567</v>
      </c>
      <c r="C83" s="6" t="s">
        <v>19</v>
      </c>
      <c r="D83" s="6" t="str">
        <f>"郑祎宁"</f>
        <v>郑祎宁</v>
      </c>
      <c r="E83" s="6" t="str">
        <f t="shared" si="1"/>
        <v>女</v>
      </c>
      <c r="F83" s="6" t="str">
        <f>"1993-03-15"</f>
        <v>1993-03-15</v>
      </c>
      <c r="G83" s="6"/>
    </row>
    <row r="84" spans="1:7" ht="30" customHeight="1">
      <c r="A84" s="6">
        <v>82</v>
      </c>
      <c r="B84" s="6" t="str">
        <f>"39212022051620334232696"</f>
        <v>39212022051620334232696</v>
      </c>
      <c r="C84" s="6" t="s">
        <v>19</v>
      </c>
      <c r="D84" s="6" t="str">
        <f>"林艳玲"</f>
        <v>林艳玲</v>
      </c>
      <c r="E84" s="6" t="str">
        <f t="shared" si="1"/>
        <v>女</v>
      </c>
      <c r="F84" s="6" t="str">
        <f>"1996-01-26"</f>
        <v>1996-01-26</v>
      </c>
      <c r="G84" s="6"/>
    </row>
    <row r="85" spans="1:7" ht="30" customHeight="1">
      <c r="A85" s="6">
        <v>83</v>
      </c>
      <c r="B85" s="6" t="str">
        <f>"39212022051621002832736"</f>
        <v>39212022051621002832736</v>
      </c>
      <c r="C85" s="6" t="s">
        <v>19</v>
      </c>
      <c r="D85" s="6" t="str">
        <f>"李静怡"</f>
        <v>李静怡</v>
      </c>
      <c r="E85" s="6" t="str">
        <f t="shared" si="1"/>
        <v>女</v>
      </c>
      <c r="F85" s="6" t="str">
        <f>"1992.03"</f>
        <v>1992.03</v>
      </c>
      <c r="G85" s="6"/>
    </row>
    <row r="86" spans="1:7" ht="30" customHeight="1">
      <c r="A86" s="6">
        <v>84</v>
      </c>
      <c r="B86" s="6" t="str">
        <f>"39212022051700055632928"</f>
        <v>39212022051700055632928</v>
      </c>
      <c r="C86" s="6" t="s">
        <v>19</v>
      </c>
      <c r="D86" s="6" t="str">
        <f>"符小玲"</f>
        <v>符小玲</v>
      </c>
      <c r="E86" s="6" t="str">
        <f t="shared" si="1"/>
        <v>女</v>
      </c>
      <c r="F86" s="6" t="str">
        <f>"1993-03-20"</f>
        <v>1993-03-20</v>
      </c>
      <c r="G86" s="6"/>
    </row>
    <row r="87" spans="1:7" ht="30" customHeight="1">
      <c r="A87" s="6">
        <v>85</v>
      </c>
      <c r="B87" s="6" t="str">
        <f>"39212022051711003133240"</f>
        <v>39212022051711003133240</v>
      </c>
      <c r="C87" s="6" t="s">
        <v>19</v>
      </c>
      <c r="D87" s="6" t="str">
        <f>"陈信茹"</f>
        <v>陈信茹</v>
      </c>
      <c r="E87" s="6" t="str">
        <f t="shared" si="1"/>
        <v>女</v>
      </c>
      <c r="F87" s="6" t="str">
        <f>"1995-09-30"</f>
        <v>1995-09-30</v>
      </c>
      <c r="G87" s="6"/>
    </row>
    <row r="88" spans="1:7" ht="30" customHeight="1">
      <c r="A88" s="6">
        <v>86</v>
      </c>
      <c r="B88" s="6" t="str">
        <f>"39212022051711582433318"</f>
        <v>39212022051711582433318</v>
      </c>
      <c r="C88" s="6" t="s">
        <v>19</v>
      </c>
      <c r="D88" s="6" t="str">
        <f>"潘嘉欣"</f>
        <v>潘嘉欣</v>
      </c>
      <c r="E88" s="6" t="str">
        <f t="shared" si="1"/>
        <v>女</v>
      </c>
      <c r="F88" s="6" t="str">
        <f>"1996-01-08"</f>
        <v>1996-01-08</v>
      </c>
      <c r="G88" s="6"/>
    </row>
    <row r="89" spans="1:7" ht="30" customHeight="1">
      <c r="A89" s="6">
        <v>87</v>
      </c>
      <c r="B89" s="6" t="str">
        <f>"39212022051712304933361"</f>
        <v>39212022051712304933361</v>
      </c>
      <c r="C89" s="6" t="s">
        <v>19</v>
      </c>
      <c r="D89" s="6" t="str">
        <f>"徐林新"</f>
        <v>徐林新</v>
      </c>
      <c r="E89" s="6" t="str">
        <f t="shared" si="1"/>
        <v>女</v>
      </c>
      <c r="F89" s="6" t="str">
        <f>"1994-05-23"</f>
        <v>1994-05-23</v>
      </c>
      <c r="G89" s="6"/>
    </row>
    <row r="90" spans="1:7" ht="30" customHeight="1">
      <c r="A90" s="6">
        <v>88</v>
      </c>
      <c r="B90" s="6" t="str">
        <f>"39212022051715064633554"</f>
        <v>39212022051715064633554</v>
      </c>
      <c r="C90" s="6" t="s">
        <v>19</v>
      </c>
      <c r="D90" s="6" t="str">
        <f>"林燕飞"</f>
        <v>林燕飞</v>
      </c>
      <c r="E90" s="6" t="str">
        <f t="shared" si="1"/>
        <v>女</v>
      </c>
      <c r="F90" s="6" t="str">
        <f>"1993-09-21"</f>
        <v>1993-09-21</v>
      </c>
      <c r="G90" s="6"/>
    </row>
    <row r="91" spans="1:7" ht="30" customHeight="1">
      <c r="A91" s="6">
        <v>89</v>
      </c>
      <c r="B91" s="6" t="str">
        <f>"39212022051715504933644"</f>
        <v>39212022051715504933644</v>
      </c>
      <c r="C91" s="6" t="s">
        <v>19</v>
      </c>
      <c r="D91" s="6" t="str">
        <f>"于艳玲"</f>
        <v>于艳玲</v>
      </c>
      <c r="E91" s="6" t="str">
        <f t="shared" si="1"/>
        <v>女</v>
      </c>
      <c r="F91" s="6" t="str">
        <f>"1995-06-27"</f>
        <v>1995-06-27</v>
      </c>
      <c r="G91" s="6"/>
    </row>
    <row r="92" spans="1:7" ht="30" customHeight="1">
      <c r="A92" s="6">
        <v>90</v>
      </c>
      <c r="B92" s="6" t="str">
        <f>"39212022051716175533694"</f>
        <v>39212022051716175533694</v>
      </c>
      <c r="C92" s="6" t="s">
        <v>19</v>
      </c>
      <c r="D92" s="6" t="str">
        <f>"王某骅"</f>
        <v>王某骅</v>
      </c>
      <c r="E92" s="6" t="str">
        <f>"男"</f>
        <v>男</v>
      </c>
      <c r="F92" s="6" t="str">
        <f>"1994-12-07"</f>
        <v>1994-12-07</v>
      </c>
      <c r="G92" s="6"/>
    </row>
    <row r="93" spans="1:7" ht="30" customHeight="1">
      <c r="A93" s="6">
        <v>91</v>
      </c>
      <c r="B93" s="6" t="str">
        <f>"39212022051719345733978"</f>
        <v>39212022051719345733978</v>
      </c>
      <c r="C93" s="6" t="s">
        <v>19</v>
      </c>
      <c r="D93" s="6" t="str">
        <f>"陈映"</f>
        <v>陈映</v>
      </c>
      <c r="E93" s="6" t="str">
        <f>"女"</f>
        <v>女</v>
      </c>
      <c r="F93" s="6" t="str">
        <f>"1991-07-14"</f>
        <v>1991-07-14</v>
      </c>
      <c r="G93" s="6"/>
    </row>
    <row r="94" spans="1:7" ht="30" customHeight="1">
      <c r="A94" s="6">
        <v>92</v>
      </c>
      <c r="B94" s="6" t="str">
        <f>"39212022051809391435218"</f>
        <v>39212022051809391435218</v>
      </c>
      <c r="C94" s="6" t="s">
        <v>19</v>
      </c>
      <c r="D94" s="6" t="str">
        <f>"李琼娥"</f>
        <v>李琼娥</v>
      </c>
      <c r="E94" s="6" t="str">
        <f>"女"</f>
        <v>女</v>
      </c>
      <c r="F94" s="6" t="str">
        <f>"1994-05-23"</f>
        <v>1994-05-23</v>
      </c>
      <c r="G94" s="6"/>
    </row>
    <row r="95" spans="1:7" ht="30" customHeight="1">
      <c r="A95" s="6">
        <v>93</v>
      </c>
      <c r="B95" s="6" t="str">
        <f>"39212022051810163135324"</f>
        <v>39212022051810163135324</v>
      </c>
      <c r="C95" s="6" t="s">
        <v>19</v>
      </c>
      <c r="D95" s="6" t="str">
        <f>"王哲"</f>
        <v>王哲</v>
      </c>
      <c r="E95" s="6" t="str">
        <f>"女"</f>
        <v>女</v>
      </c>
      <c r="F95" s="6" t="str">
        <f>"1996-12-24"</f>
        <v>1996-12-24</v>
      </c>
      <c r="G95" s="6"/>
    </row>
    <row r="96" spans="1:7" ht="30" customHeight="1">
      <c r="A96" s="6">
        <v>94</v>
      </c>
      <c r="B96" s="6" t="str">
        <f>"3921202205120852557062"</f>
        <v>3921202205120852557062</v>
      </c>
      <c r="C96" s="6" t="s">
        <v>20</v>
      </c>
      <c r="D96" s="6" t="str">
        <f>"赵泽来"</f>
        <v>赵泽来</v>
      </c>
      <c r="E96" s="6" t="str">
        <f>"男"</f>
        <v>男</v>
      </c>
      <c r="F96" s="6" t="str">
        <f>"1992-03-05"</f>
        <v>1992-03-05</v>
      </c>
      <c r="G96" s="6"/>
    </row>
    <row r="97" spans="1:7" ht="30" customHeight="1">
      <c r="A97" s="6">
        <v>95</v>
      </c>
      <c r="B97" s="6" t="str">
        <f>"3921202205121209507945"</f>
        <v>3921202205121209507945</v>
      </c>
      <c r="C97" s="6" t="s">
        <v>20</v>
      </c>
      <c r="D97" s="6" t="str">
        <f>"陈玉金"</f>
        <v>陈玉金</v>
      </c>
      <c r="E97" s="6" t="str">
        <f aca="true" t="shared" si="2" ref="E97:E103">"女"</f>
        <v>女</v>
      </c>
      <c r="F97" s="6" t="str">
        <f>"1997-05-18"</f>
        <v>1997-05-18</v>
      </c>
      <c r="G97" s="6"/>
    </row>
    <row r="98" spans="1:7" ht="30" customHeight="1">
      <c r="A98" s="6">
        <v>96</v>
      </c>
      <c r="B98" s="6" t="str">
        <f>"3921202205121326128099"</f>
        <v>3921202205121326128099</v>
      </c>
      <c r="C98" s="6" t="s">
        <v>20</v>
      </c>
      <c r="D98" s="6" t="str">
        <f>"陈燕欣"</f>
        <v>陈燕欣</v>
      </c>
      <c r="E98" s="6" t="str">
        <f t="shared" si="2"/>
        <v>女</v>
      </c>
      <c r="F98" s="6" t="str">
        <f>"1998-05-18"</f>
        <v>1998-05-18</v>
      </c>
      <c r="G98" s="6"/>
    </row>
    <row r="99" spans="1:7" ht="30" customHeight="1">
      <c r="A99" s="6">
        <v>97</v>
      </c>
      <c r="B99" s="6" t="str">
        <f>"3921202205121459118276"</f>
        <v>3921202205121459118276</v>
      </c>
      <c r="C99" s="6" t="s">
        <v>20</v>
      </c>
      <c r="D99" s="6" t="str">
        <f>"何琼方"</f>
        <v>何琼方</v>
      </c>
      <c r="E99" s="6" t="str">
        <f t="shared" si="2"/>
        <v>女</v>
      </c>
      <c r="F99" s="6" t="str">
        <f>"1993-08-10"</f>
        <v>1993-08-10</v>
      </c>
      <c r="G99" s="6"/>
    </row>
    <row r="100" spans="1:7" ht="30" customHeight="1">
      <c r="A100" s="6">
        <v>98</v>
      </c>
      <c r="B100" s="6" t="str">
        <f>"3921202205122116459036"</f>
        <v>3921202205122116459036</v>
      </c>
      <c r="C100" s="6" t="s">
        <v>20</v>
      </c>
      <c r="D100" s="6" t="str">
        <f>"羊木爱"</f>
        <v>羊木爱</v>
      </c>
      <c r="E100" s="6" t="str">
        <f t="shared" si="2"/>
        <v>女</v>
      </c>
      <c r="F100" s="6" t="str">
        <f>"1995-06-10"</f>
        <v>1995-06-10</v>
      </c>
      <c r="G100" s="6"/>
    </row>
    <row r="101" spans="1:7" ht="30" customHeight="1">
      <c r="A101" s="6">
        <v>99</v>
      </c>
      <c r="B101" s="6" t="str">
        <f>"3921202205131629319997"</f>
        <v>3921202205131629319997</v>
      </c>
      <c r="C101" s="6" t="s">
        <v>20</v>
      </c>
      <c r="D101" s="6" t="str">
        <f>"付颖"</f>
        <v>付颖</v>
      </c>
      <c r="E101" s="6" t="str">
        <f t="shared" si="2"/>
        <v>女</v>
      </c>
      <c r="F101" s="6" t="str">
        <f>"1996-10-17"</f>
        <v>1996-10-17</v>
      </c>
      <c r="G101" s="6"/>
    </row>
    <row r="102" spans="1:7" ht="30" customHeight="1">
      <c r="A102" s="6">
        <v>100</v>
      </c>
      <c r="B102" s="6" t="str">
        <f>"39212022051317341014545"</f>
        <v>39212022051317341014545</v>
      </c>
      <c r="C102" s="6" t="s">
        <v>20</v>
      </c>
      <c r="D102" s="6" t="str">
        <f>"田媛"</f>
        <v>田媛</v>
      </c>
      <c r="E102" s="6" t="str">
        <f t="shared" si="2"/>
        <v>女</v>
      </c>
      <c r="F102" s="6" t="str">
        <f>"1997-01-03"</f>
        <v>1997-01-03</v>
      </c>
      <c r="G102" s="6"/>
    </row>
    <row r="103" spans="1:7" ht="30" customHeight="1">
      <c r="A103" s="6">
        <v>101</v>
      </c>
      <c r="B103" s="6" t="str">
        <f>"39212022051408233630107"</f>
        <v>39212022051408233630107</v>
      </c>
      <c r="C103" s="6" t="s">
        <v>20</v>
      </c>
      <c r="D103" s="6" t="str">
        <f>"郭施佳"</f>
        <v>郭施佳</v>
      </c>
      <c r="E103" s="6" t="str">
        <f t="shared" si="2"/>
        <v>女</v>
      </c>
      <c r="F103" s="6" t="str">
        <f>"1997-07-05"</f>
        <v>1997-07-05</v>
      </c>
      <c r="G103" s="6"/>
    </row>
    <row r="104" spans="1:7" ht="30" customHeight="1">
      <c r="A104" s="6">
        <v>102</v>
      </c>
      <c r="B104" s="6" t="str">
        <f>"39212022051417533230461"</f>
        <v>39212022051417533230461</v>
      </c>
      <c r="C104" s="6" t="s">
        <v>20</v>
      </c>
      <c r="D104" s="6" t="str">
        <f>"符先亮"</f>
        <v>符先亮</v>
      </c>
      <c r="E104" s="6" t="str">
        <f>"男"</f>
        <v>男</v>
      </c>
      <c r="F104" s="6" t="str">
        <f>"1998-03-19"</f>
        <v>1998-03-19</v>
      </c>
      <c r="G104" s="6"/>
    </row>
    <row r="105" spans="1:7" ht="30" customHeight="1">
      <c r="A105" s="6">
        <v>103</v>
      </c>
      <c r="B105" s="6" t="str">
        <f>"39212022051514033430864"</f>
        <v>39212022051514033430864</v>
      </c>
      <c r="C105" s="6" t="s">
        <v>20</v>
      </c>
      <c r="D105" s="6" t="str">
        <f>"陈增雪"</f>
        <v>陈增雪</v>
      </c>
      <c r="E105" s="6" t="str">
        <f>"女"</f>
        <v>女</v>
      </c>
      <c r="F105" s="6" t="str">
        <f>"1998-03-01"</f>
        <v>1998-03-01</v>
      </c>
      <c r="G105" s="6"/>
    </row>
    <row r="106" spans="1:7" ht="30" customHeight="1">
      <c r="A106" s="6">
        <v>104</v>
      </c>
      <c r="B106" s="6" t="str">
        <f>"39212022051612574531738"</f>
        <v>39212022051612574531738</v>
      </c>
      <c r="C106" s="6" t="s">
        <v>20</v>
      </c>
      <c r="D106" s="6" t="str">
        <f>"刘琰奕"</f>
        <v>刘琰奕</v>
      </c>
      <c r="E106" s="6" t="str">
        <f>"女"</f>
        <v>女</v>
      </c>
      <c r="F106" s="6" t="str">
        <f>"1995-11-23"</f>
        <v>1995-11-23</v>
      </c>
      <c r="G106" s="6"/>
    </row>
    <row r="107" spans="1:7" ht="30" customHeight="1">
      <c r="A107" s="6">
        <v>105</v>
      </c>
      <c r="B107" s="6" t="str">
        <f>"39212022051620323232693"</f>
        <v>39212022051620323232693</v>
      </c>
      <c r="C107" s="6" t="s">
        <v>20</v>
      </c>
      <c r="D107" s="6" t="str">
        <f>"孙一帆"</f>
        <v>孙一帆</v>
      </c>
      <c r="E107" s="6" t="str">
        <f>"男"</f>
        <v>男</v>
      </c>
      <c r="F107" s="6" t="str">
        <f>"1997-07-04"</f>
        <v>1997-07-04</v>
      </c>
      <c r="G107" s="6"/>
    </row>
    <row r="108" spans="1:7" ht="30" customHeight="1">
      <c r="A108" s="6">
        <v>106</v>
      </c>
      <c r="B108" s="6" t="str">
        <f>"39212022051621070432747"</f>
        <v>39212022051621070432747</v>
      </c>
      <c r="C108" s="6" t="s">
        <v>20</v>
      </c>
      <c r="D108" s="6" t="str">
        <f>"杨德鑫"</f>
        <v>杨德鑫</v>
      </c>
      <c r="E108" s="6" t="str">
        <f>"男"</f>
        <v>男</v>
      </c>
      <c r="F108" s="6" t="str">
        <f>"1991-07-04"</f>
        <v>1991-07-04</v>
      </c>
      <c r="G108" s="6"/>
    </row>
    <row r="109" spans="1:7" ht="30" customHeight="1">
      <c r="A109" s="6">
        <v>107</v>
      </c>
      <c r="B109" s="6" t="str">
        <f>"39212022051621524932804"</f>
        <v>39212022051621524932804</v>
      </c>
      <c r="C109" s="6" t="s">
        <v>20</v>
      </c>
      <c r="D109" s="6" t="str">
        <f>"阎惠谦"</f>
        <v>阎惠谦</v>
      </c>
      <c r="E109" s="6" t="str">
        <f>"女"</f>
        <v>女</v>
      </c>
      <c r="F109" s="6" t="str">
        <f>"1997-11-16"</f>
        <v>1997-11-16</v>
      </c>
      <c r="G109" s="6"/>
    </row>
    <row r="110" spans="1:7" ht="30" customHeight="1">
      <c r="A110" s="6">
        <v>108</v>
      </c>
      <c r="B110" s="6" t="str">
        <f>"39212022051720114234106"</f>
        <v>39212022051720114234106</v>
      </c>
      <c r="C110" s="6" t="s">
        <v>20</v>
      </c>
      <c r="D110" s="6" t="str">
        <f>"吴万菊"</f>
        <v>吴万菊</v>
      </c>
      <c r="E110" s="6" t="str">
        <f>"女"</f>
        <v>女</v>
      </c>
      <c r="F110" s="6" t="str">
        <f>"1997-04-04"</f>
        <v>1997-04-04</v>
      </c>
      <c r="G110" s="6"/>
    </row>
    <row r="111" spans="1:7" ht="30" customHeight="1">
      <c r="A111" s="6">
        <v>109</v>
      </c>
      <c r="B111" s="6" t="str">
        <f>"39212022051722264234620"</f>
        <v>39212022051722264234620</v>
      </c>
      <c r="C111" s="6" t="s">
        <v>20</v>
      </c>
      <c r="D111" s="6" t="str">
        <f>"张雪"</f>
        <v>张雪</v>
      </c>
      <c r="E111" s="6" t="str">
        <f>"女"</f>
        <v>女</v>
      </c>
      <c r="F111" s="6" t="str">
        <f>"1995-10-16"</f>
        <v>1995-10-16</v>
      </c>
      <c r="G111" s="6"/>
    </row>
    <row r="112" spans="1:7" ht="30" customHeight="1">
      <c r="A112" s="6">
        <v>110</v>
      </c>
      <c r="B112" s="6" t="str">
        <f>"39212022051811302635554"</f>
        <v>39212022051811302635554</v>
      </c>
      <c r="C112" s="6" t="s">
        <v>20</v>
      </c>
      <c r="D112" s="6" t="str">
        <f>"路通平"</f>
        <v>路通平</v>
      </c>
      <c r="E112" s="6" t="str">
        <f>"女"</f>
        <v>女</v>
      </c>
      <c r="F112" s="6" t="str">
        <f>"1994-11-29"</f>
        <v>1994-11-29</v>
      </c>
      <c r="G112" s="6"/>
    </row>
    <row r="113" spans="1:7" ht="30" customHeight="1">
      <c r="A113" s="6">
        <v>111</v>
      </c>
      <c r="B113" s="6" t="str">
        <f>"3921202205120802557026"</f>
        <v>3921202205120802557026</v>
      </c>
      <c r="C113" s="6" t="s">
        <v>21</v>
      </c>
      <c r="D113" s="6" t="str">
        <f>"黎雨昕"</f>
        <v>黎雨昕</v>
      </c>
      <c r="E113" s="6" t="str">
        <f>"女"</f>
        <v>女</v>
      </c>
      <c r="F113" s="6" t="str">
        <f>"2000-10-20"</f>
        <v>2000-10-20</v>
      </c>
      <c r="G113" s="6"/>
    </row>
    <row r="114" spans="1:7" ht="30" customHeight="1">
      <c r="A114" s="6">
        <v>112</v>
      </c>
      <c r="B114" s="6" t="str">
        <f>"3921202205120808427028"</f>
        <v>3921202205120808427028</v>
      </c>
      <c r="C114" s="6" t="s">
        <v>21</v>
      </c>
      <c r="D114" s="6" t="str">
        <f>"马文骁"</f>
        <v>马文骁</v>
      </c>
      <c r="E114" s="6" t="str">
        <f>"男"</f>
        <v>男</v>
      </c>
      <c r="F114" s="6" t="str">
        <f>"2000-03-30"</f>
        <v>2000-03-30</v>
      </c>
      <c r="G114" s="6"/>
    </row>
    <row r="115" spans="1:7" ht="30" customHeight="1">
      <c r="A115" s="6">
        <v>113</v>
      </c>
      <c r="B115" s="6" t="str">
        <f>"3921202205120834387041"</f>
        <v>3921202205120834387041</v>
      </c>
      <c r="C115" s="6" t="s">
        <v>21</v>
      </c>
      <c r="D115" s="6" t="str">
        <f>"张树龙"</f>
        <v>张树龙</v>
      </c>
      <c r="E115" s="6" t="str">
        <f>"男"</f>
        <v>男</v>
      </c>
      <c r="F115" s="6" t="str">
        <f>"1999-01-02"</f>
        <v>1999-01-02</v>
      </c>
      <c r="G115" s="6"/>
    </row>
    <row r="116" spans="1:7" ht="30" customHeight="1">
      <c r="A116" s="6">
        <v>114</v>
      </c>
      <c r="B116" s="6" t="str">
        <f>"3921202205121013107516"</f>
        <v>3921202205121013107516</v>
      </c>
      <c r="C116" s="6" t="s">
        <v>21</v>
      </c>
      <c r="D116" s="6" t="str">
        <f>"邢贞灵"</f>
        <v>邢贞灵</v>
      </c>
      <c r="E116" s="6" t="str">
        <f>"女"</f>
        <v>女</v>
      </c>
      <c r="F116" s="6" t="str">
        <f>"1998-02-18"</f>
        <v>1998-02-18</v>
      </c>
      <c r="G116" s="6"/>
    </row>
    <row r="117" spans="1:7" ht="30" customHeight="1">
      <c r="A117" s="6">
        <v>115</v>
      </c>
      <c r="B117" s="6" t="str">
        <f>"3921202205121028337592"</f>
        <v>3921202205121028337592</v>
      </c>
      <c r="C117" s="6" t="s">
        <v>21</v>
      </c>
      <c r="D117" s="6" t="str">
        <f>"罗锦笑"</f>
        <v>罗锦笑</v>
      </c>
      <c r="E117" s="6" t="str">
        <f>"女"</f>
        <v>女</v>
      </c>
      <c r="F117" s="6" t="str">
        <f>"1999-06-02"</f>
        <v>1999-06-02</v>
      </c>
      <c r="G117" s="6"/>
    </row>
    <row r="118" spans="1:7" ht="30" customHeight="1">
      <c r="A118" s="6">
        <v>116</v>
      </c>
      <c r="B118" s="6" t="str">
        <f>"3921202205121104087753"</f>
        <v>3921202205121104087753</v>
      </c>
      <c r="C118" s="6" t="s">
        <v>21</v>
      </c>
      <c r="D118" s="6" t="str">
        <f>"罗曼璇"</f>
        <v>罗曼璇</v>
      </c>
      <c r="E118" s="6" t="str">
        <f>"女"</f>
        <v>女</v>
      </c>
      <c r="F118" s="6" t="str">
        <f>"2001-03-22"</f>
        <v>2001-03-22</v>
      </c>
      <c r="G118" s="6"/>
    </row>
    <row r="119" spans="1:7" ht="30" customHeight="1">
      <c r="A119" s="6">
        <v>117</v>
      </c>
      <c r="B119" s="6" t="str">
        <f>"3921202205121358048151"</f>
        <v>3921202205121358048151</v>
      </c>
      <c r="C119" s="6" t="s">
        <v>21</v>
      </c>
      <c r="D119" s="6" t="str">
        <f>"衣爽"</f>
        <v>衣爽</v>
      </c>
      <c r="E119" s="6" t="str">
        <f>"女"</f>
        <v>女</v>
      </c>
      <c r="F119" s="6" t="str">
        <f>"1998-05-07"</f>
        <v>1998-05-07</v>
      </c>
      <c r="G119" s="6"/>
    </row>
    <row r="120" spans="1:7" ht="30" customHeight="1">
      <c r="A120" s="6">
        <v>118</v>
      </c>
      <c r="B120" s="6" t="str">
        <f>"3921202205121404468163"</f>
        <v>3921202205121404468163</v>
      </c>
      <c r="C120" s="6" t="s">
        <v>21</v>
      </c>
      <c r="D120" s="6" t="str">
        <f>"唐静"</f>
        <v>唐静</v>
      </c>
      <c r="E120" s="6" t="str">
        <f>"女"</f>
        <v>女</v>
      </c>
      <c r="F120" s="6" t="str">
        <f>"2001-01-17"</f>
        <v>2001-01-17</v>
      </c>
      <c r="G120" s="6"/>
    </row>
    <row r="121" spans="1:7" ht="30" customHeight="1">
      <c r="A121" s="6">
        <v>119</v>
      </c>
      <c r="B121" s="6" t="str">
        <f>"3921202205121424018207"</f>
        <v>3921202205121424018207</v>
      </c>
      <c r="C121" s="6" t="s">
        <v>21</v>
      </c>
      <c r="D121" s="6" t="str">
        <f>"谭兵"</f>
        <v>谭兵</v>
      </c>
      <c r="E121" s="6" t="str">
        <f>"男"</f>
        <v>男</v>
      </c>
      <c r="F121" s="6" t="str">
        <f>"1999-01-27"</f>
        <v>1999-01-27</v>
      </c>
      <c r="G121" s="6"/>
    </row>
    <row r="122" spans="1:7" ht="30" customHeight="1">
      <c r="A122" s="6">
        <v>120</v>
      </c>
      <c r="B122" s="6" t="str">
        <f>"3921202205121438348225"</f>
        <v>3921202205121438348225</v>
      </c>
      <c r="C122" s="6" t="s">
        <v>21</v>
      </c>
      <c r="D122" s="6" t="str">
        <f>"李克勤"</f>
        <v>李克勤</v>
      </c>
      <c r="E122" s="6" t="str">
        <f>"男"</f>
        <v>男</v>
      </c>
      <c r="F122" s="6" t="str">
        <f>"1998-11-11"</f>
        <v>1998-11-11</v>
      </c>
      <c r="G122" s="6"/>
    </row>
    <row r="123" spans="1:7" ht="30" customHeight="1">
      <c r="A123" s="6">
        <v>121</v>
      </c>
      <c r="B123" s="6" t="str">
        <f>"3921202205121450278249"</f>
        <v>3921202205121450278249</v>
      </c>
      <c r="C123" s="6" t="s">
        <v>21</v>
      </c>
      <c r="D123" s="6" t="str">
        <f>"黄贵幹"</f>
        <v>黄贵幹</v>
      </c>
      <c r="E123" s="6" t="str">
        <f>"男"</f>
        <v>男</v>
      </c>
      <c r="F123" s="6" t="str">
        <f>"2000-06-15"</f>
        <v>2000-06-15</v>
      </c>
      <c r="G123" s="6"/>
    </row>
    <row r="124" spans="1:7" ht="30" customHeight="1">
      <c r="A124" s="6">
        <v>122</v>
      </c>
      <c r="B124" s="6" t="str">
        <f>"3921202205121452428259"</f>
        <v>3921202205121452428259</v>
      </c>
      <c r="C124" s="6" t="s">
        <v>21</v>
      </c>
      <c r="D124" s="6" t="str">
        <f>"郭森鑫"</f>
        <v>郭森鑫</v>
      </c>
      <c r="E124" s="6" t="str">
        <f>"男"</f>
        <v>男</v>
      </c>
      <c r="F124" s="6" t="str">
        <f>"1999-03-12"</f>
        <v>1999-03-12</v>
      </c>
      <c r="G124" s="6"/>
    </row>
    <row r="125" spans="1:7" ht="30" customHeight="1">
      <c r="A125" s="6">
        <v>123</v>
      </c>
      <c r="B125" s="6" t="str">
        <f>"3921202205121513368301"</f>
        <v>3921202205121513368301</v>
      </c>
      <c r="C125" s="6" t="s">
        <v>21</v>
      </c>
      <c r="D125" s="6" t="str">
        <f>"曾君洁"</f>
        <v>曾君洁</v>
      </c>
      <c r="E125" s="6" t="str">
        <f>"女"</f>
        <v>女</v>
      </c>
      <c r="F125" s="6" t="str">
        <f>"1998-08-01"</f>
        <v>1998-08-01</v>
      </c>
      <c r="G125" s="6"/>
    </row>
    <row r="126" spans="1:7" ht="30" customHeight="1">
      <c r="A126" s="6">
        <v>124</v>
      </c>
      <c r="B126" s="6" t="str">
        <f>"3921202205121604308450"</f>
        <v>3921202205121604308450</v>
      </c>
      <c r="C126" s="6" t="s">
        <v>21</v>
      </c>
      <c r="D126" s="6" t="str">
        <f>"麦妍诗"</f>
        <v>麦妍诗</v>
      </c>
      <c r="E126" s="6" t="str">
        <f>"女"</f>
        <v>女</v>
      </c>
      <c r="F126" s="6" t="str">
        <f>"2000-02-22"</f>
        <v>2000-02-22</v>
      </c>
      <c r="G126" s="6"/>
    </row>
    <row r="127" spans="1:7" ht="30" customHeight="1">
      <c r="A127" s="6">
        <v>125</v>
      </c>
      <c r="B127" s="6" t="str">
        <f>"3921202205121608298461"</f>
        <v>3921202205121608298461</v>
      </c>
      <c r="C127" s="6" t="s">
        <v>21</v>
      </c>
      <c r="D127" s="6" t="str">
        <f>"李纪扩"</f>
        <v>李纪扩</v>
      </c>
      <c r="E127" s="6" t="str">
        <f>"男"</f>
        <v>男</v>
      </c>
      <c r="F127" s="6" t="str">
        <f>"2000-05-18"</f>
        <v>2000-05-18</v>
      </c>
      <c r="G127" s="6"/>
    </row>
    <row r="128" spans="1:7" ht="30" customHeight="1">
      <c r="A128" s="6">
        <v>126</v>
      </c>
      <c r="B128" s="6" t="str">
        <f>"3921202205121708308607"</f>
        <v>3921202205121708308607</v>
      </c>
      <c r="C128" s="6" t="s">
        <v>21</v>
      </c>
      <c r="D128" s="6" t="str">
        <f>"吴梅燕"</f>
        <v>吴梅燕</v>
      </c>
      <c r="E128" s="6" t="str">
        <f aca="true" t="shared" si="3" ref="E128:E134">"女"</f>
        <v>女</v>
      </c>
      <c r="F128" s="6" t="str">
        <f>"1999-04-07"</f>
        <v>1999-04-07</v>
      </c>
      <c r="G128" s="6"/>
    </row>
    <row r="129" spans="1:7" ht="30" customHeight="1">
      <c r="A129" s="6">
        <v>127</v>
      </c>
      <c r="B129" s="6" t="str">
        <f>"3921202205121839178746"</f>
        <v>3921202205121839178746</v>
      </c>
      <c r="C129" s="6" t="s">
        <v>21</v>
      </c>
      <c r="D129" s="6" t="str">
        <f>"周佳"</f>
        <v>周佳</v>
      </c>
      <c r="E129" s="6" t="str">
        <f t="shared" si="3"/>
        <v>女</v>
      </c>
      <c r="F129" s="6" t="str">
        <f>"2000-06-25"</f>
        <v>2000-06-25</v>
      </c>
      <c r="G129" s="6"/>
    </row>
    <row r="130" spans="1:7" ht="30" customHeight="1">
      <c r="A130" s="6">
        <v>128</v>
      </c>
      <c r="B130" s="6" t="str">
        <f>"3921202205121917458796"</f>
        <v>3921202205121917458796</v>
      </c>
      <c r="C130" s="6" t="s">
        <v>21</v>
      </c>
      <c r="D130" s="6" t="str">
        <f>"高子桓"</f>
        <v>高子桓</v>
      </c>
      <c r="E130" s="6" t="str">
        <f t="shared" si="3"/>
        <v>女</v>
      </c>
      <c r="F130" s="6" t="str">
        <f>"2000-11-18"</f>
        <v>2000-11-18</v>
      </c>
      <c r="G130" s="6"/>
    </row>
    <row r="131" spans="1:7" ht="30" customHeight="1">
      <c r="A131" s="6">
        <v>129</v>
      </c>
      <c r="B131" s="6" t="str">
        <f>"3921202205121934188821"</f>
        <v>3921202205121934188821</v>
      </c>
      <c r="C131" s="6" t="s">
        <v>21</v>
      </c>
      <c r="D131" s="6" t="str">
        <f>"胡杨芳"</f>
        <v>胡杨芳</v>
      </c>
      <c r="E131" s="6" t="str">
        <f t="shared" si="3"/>
        <v>女</v>
      </c>
      <c r="F131" s="6" t="str">
        <f>"1998-06-26"</f>
        <v>1998-06-26</v>
      </c>
      <c r="G131" s="6"/>
    </row>
    <row r="132" spans="1:7" ht="30" customHeight="1">
      <c r="A132" s="6">
        <v>130</v>
      </c>
      <c r="B132" s="6" t="str">
        <f>"3921202205121944578836"</f>
        <v>3921202205121944578836</v>
      </c>
      <c r="C132" s="6" t="s">
        <v>21</v>
      </c>
      <c r="D132" s="6" t="str">
        <f>"文文"</f>
        <v>文文</v>
      </c>
      <c r="E132" s="6" t="str">
        <f t="shared" si="3"/>
        <v>女</v>
      </c>
      <c r="F132" s="6" t="str">
        <f>"2000-09-14"</f>
        <v>2000-09-14</v>
      </c>
      <c r="G132" s="6"/>
    </row>
    <row r="133" spans="1:7" ht="30" customHeight="1">
      <c r="A133" s="6">
        <v>131</v>
      </c>
      <c r="B133" s="6" t="str">
        <f>"3921202205121959228857"</f>
        <v>3921202205121959228857</v>
      </c>
      <c r="C133" s="6" t="s">
        <v>21</v>
      </c>
      <c r="D133" s="6" t="str">
        <f>"万晶晶"</f>
        <v>万晶晶</v>
      </c>
      <c r="E133" s="6" t="str">
        <f t="shared" si="3"/>
        <v>女</v>
      </c>
      <c r="F133" s="6" t="str">
        <f>"2000-03-20"</f>
        <v>2000-03-20</v>
      </c>
      <c r="G133" s="6"/>
    </row>
    <row r="134" spans="1:7" ht="30" customHeight="1">
      <c r="A134" s="6">
        <v>132</v>
      </c>
      <c r="B134" s="6" t="str">
        <f>"3921202205122131229058"</f>
        <v>3921202205122131229058</v>
      </c>
      <c r="C134" s="6" t="s">
        <v>21</v>
      </c>
      <c r="D134" s="6" t="str">
        <f>"刘月"</f>
        <v>刘月</v>
      </c>
      <c r="E134" s="6" t="str">
        <f t="shared" si="3"/>
        <v>女</v>
      </c>
      <c r="F134" s="6" t="str">
        <f>"2000-09-12"</f>
        <v>2000-09-12</v>
      </c>
      <c r="G134" s="6"/>
    </row>
    <row r="135" spans="1:7" ht="30" customHeight="1">
      <c r="A135" s="6">
        <v>133</v>
      </c>
      <c r="B135" s="6" t="str">
        <f>"3921202205131126329579"</f>
        <v>3921202205131126329579</v>
      </c>
      <c r="C135" s="6" t="s">
        <v>21</v>
      </c>
      <c r="D135" s="6" t="str">
        <f>"庄志豪"</f>
        <v>庄志豪</v>
      </c>
      <c r="E135" s="6" t="str">
        <f>"男"</f>
        <v>男</v>
      </c>
      <c r="F135" s="6" t="str">
        <f>"2000-04-25"</f>
        <v>2000-04-25</v>
      </c>
      <c r="G135" s="6"/>
    </row>
    <row r="136" spans="1:7" ht="30" customHeight="1">
      <c r="A136" s="6">
        <v>134</v>
      </c>
      <c r="B136" s="6" t="str">
        <f>"3921202205131247569695"</f>
        <v>3921202205131247569695</v>
      </c>
      <c r="C136" s="6" t="s">
        <v>21</v>
      </c>
      <c r="D136" s="6" t="str">
        <f>"王意如"</f>
        <v>王意如</v>
      </c>
      <c r="E136" s="6" t="str">
        <f>"女"</f>
        <v>女</v>
      </c>
      <c r="F136" s="6" t="str">
        <f>"1998-12-25"</f>
        <v>1998-12-25</v>
      </c>
      <c r="G136" s="6"/>
    </row>
    <row r="137" spans="1:7" ht="30" customHeight="1">
      <c r="A137" s="6">
        <v>135</v>
      </c>
      <c r="B137" s="6" t="str">
        <f>"3921202205131432579818"</f>
        <v>3921202205131432579818</v>
      </c>
      <c r="C137" s="6" t="s">
        <v>21</v>
      </c>
      <c r="D137" s="6" t="str">
        <f>"王乃仙"</f>
        <v>王乃仙</v>
      </c>
      <c r="E137" s="6" t="str">
        <f>"女"</f>
        <v>女</v>
      </c>
      <c r="F137" s="6" t="str">
        <f>"2000-01-29"</f>
        <v>2000-01-29</v>
      </c>
      <c r="G137" s="6"/>
    </row>
    <row r="138" spans="1:7" ht="30" customHeight="1">
      <c r="A138" s="6">
        <v>136</v>
      </c>
      <c r="B138" s="6" t="str">
        <f>"39212022051316305910001"</f>
        <v>39212022051316305910001</v>
      </c>
      <c r="C138" s="6" t="s">
        <v>21</v>
      </c>
      <c r="D138" s="6" t="str">
        <f>"王盈欣"</f>
        <v>王盈欣</v>
      </c>
      <c r="E138" s="6" t="str">
        <f>"女"</f>
        <v>女</v>
      </c>
      <c r="F138" s="6" t="str">
        <f>"2000-06-27"</f>
        <v>2000-06-27</v>
      </c>
      <c r="G138" s="6"/>
    </row>
    <row r="139" spans="1:7" ht="30" customHeight="1">
      <c r="A139" s="6">
        <v>137</v>
      </c>
      <c r="B139" s="6" t="str">
        <f>"39212022051316414010020"</f>
        <v>39212022051316414010020</v>
      </c>
      <c r="C139" s="6" t="s">
        <v>21</v>
      </c>
      <c r="D139" s="6" t="str">
        <f>"付航"</f>
        <v>付航</v>
      </c>
      <c r="E139" s="6" t="str">
        <f>"女"</f>
        <v>女</v>
      </c>
      <c r="F139" s="6" t="str">
        <f>"2000-07-17"</f>
        <v>2000-07-17</v>
      </c>
      <c r="G139" s="6"/>
    </row>
    <row r="140" spans="1:7" ht="30" customHeight="1">
      <c r="A140" s="6">
        <v>138</v>
      </c>
      <c r="B140" s="6" t="str">
        <f>"39212022051317202210453"</f>
        <v>39212022051317202210453</v>
      </c>
      <c r="C140" s="6" t="s">
        <v>21</v>
      </c>
      <c r="D140" s="6" t="str">
        <f>"陈积煌"</f>
        <v>陈积煌</v>
      </c>
      <c r="E140" s="6" t="str">
        <f>"男"</f>
        <v>男</v>
      </c>
      <c r="F140" s="6" t="str">
        <f>"2000-03-17"</f>
        <v>2000-03-17</v>
      </c>
      <c r="G140" s="6"/>
    </row>
    <row r="141" spans="1:7" ht="30" customHeight="1">
      <c r="A141" s="6">
        <v>139</v>
      </c>
      <c r="B141" s="6" t="str">
        <f>"39212022051317460117105"</f>
        <v>39212022051317460117105</v>
      </c>
      <c r="C141" s="6" t="s">
        <v>21</v>
      </c>
      <c r="D141" s="6" t="str">
        <f>"羊造君"</f>
        <v>羊造君</v>
      </c>
      <c r="E141" s="6" t="str">
        <f>"男"</f>
        <v>男</v>
      </c>
      <c r="F141" s="6" t="str">
        <f>"1999-04-16"</f>
        <v>1999-04-16</v>
      </c>
      <c r="G141" s="6"/>
    </row>
    <row r="142" spans="1:7" ht="30" customHeight="1">
      <c r="A142" s="6">
        <v>140</v>
      </c>
      <c r="B142" s="6" t="str">
        <f>"39212022051321053429959"</f>
        <v>39212022051321053429959</v>
      </c>
      <c r="C142" s="6" t="s">
        <v>21</v>
      </c>
      <c r="D142" s="6" t="str">
        <f>"李宛珊"</f>
        <v>李宛珊</v>
      </c>
      <c r="E142" s="6" t="str">
        <f>"女"</f>
        <v>女</v>
      </c>
      <c r="F142" s="6" t="str">
        <f>"2000-10-04"</f>
        <v>2000-10-04</v>
      </c>
      <c r="G142" s="6"/>
    </row>
    <row r="143" spans="1:7" ht="30" customHeight="1">
      <c r="A143" s="6">
        <v>141</v>
      </c>
      <c r="B143" s="6" t="str">
        <f>"39212022051321085129965"</f>
        <v>39212022051321085129965</v>
      </c>
      <c r="C143" s="6" t="s">
        <v>21</v>
      </c>
      <c r="D143" s="6" t="str">
        <f>"张馨月"</f>
        <v>张馨月</v>
      </c>
      <c r="E143" s="6" t="str">
        <f>"女"</f>
        <v>女</v>
      </c>
      <c r="F143" s="6" t="str">
        <f>"2000-12-25"</f>
        <v>2000-12-25</v>
      </c>
      <c r="G143" s="6"/>
    </row>
    <row r="144" spans="1:7" ht="30" customHeight="1">
      <c r="A144" s="6">
        <v>142</v>
      </c>
      <c r="B144" s="6" t="str">
        <f>"39212022051410493230203"</f>
        <v>39212022051410493230203</v>
      </c>
      <c r="C144" s="6" t="s">
        <v>21</v>
      </c>
      <c r="D144" s="6" t="str">
        <f>"邱泓鑫"</f>
        <v>邱泓鑫</v>
      </c>
      <c r="E144" s="6" t="str">
        <f>"男"</f>
        <v>男</v>
      </c>
      <c r="F144" s="6" t="str">
        <f>"2001-11-02"</f>
        <v>2001-11-02</v>
      </c>
      <c r="G144" s="6"/>
    </row>
    <row r="145" spans="1:7" ht="30" customHeight="1">
      <c r="A145" s="6">
        <v>143</v>
      </c>
      <c r="B145" s="6" t="str">
        <f>"39212022051413324630308"</f>
        <v>39212022051413324630308</v>
      </c>
      <c r="C145" s="6" t="s">
        <v>21</v>
      </c>
      <c r="D145" s="6" t="str">
        <f>"林淑丽"</f>
        <v>林淑丽</v>
      </c>
      <c r="E145" s="6" t="str">
        <f>"女"</f>
        <v>女</v>
      </c>
      <c r="F145" s="6" t="str">
        <f>"1998-04-21"</f>
        <v>1998-04-21</v>
      </c>
      <c r="G145" s="6"/>
    </row>
    <row r="146" spans="1:7" ht="30" customHeight="1">
      <c r="A146" s="6">
        <v>144</v>
      </c>
      <c r="B146" s="6" t="str">
        <f>"39212022051414365030340"</f>
        <v>39212022051414365030340</v>
      </c>
      <c r="C146" s="6" t="s">
        <v>21</v>
      </c>
      <c r="D146" s="6" t="str">
        <f>"陈吉"</f>
        <v>陈吉</v>
      </c>
      <c r="E146" s="6" t="str">
        <f>"男"</f>
        <v>男</v>
      </c>
      <c r="F146" s="6" t="str">
        <f>"2000-07-24"</f>
        <v>2000-07-24</v>
      </c>
      <c r="G146" s="6"/>
    </row>
    <row r="147" spans="1:7" ht="30" customHeight="1">
      <c r="A147" s="6">
        <v>145</v>
      </c>
      <c r="B147" s="6" t="str">
        <f>"39212022051416535830426"</f>
        <v>39212022051416535830426</v>
      </c>
      <c r="C147" s="6" t="s">
        <v>21</v>
      </c>
      <c r="D147" s="6" t="str">
        <f>"王森浩"</f>
        <v>王森浩</v>
      </c>
      <c r="E147" s="6" t="str">
        <f>"男"</f>
        <v>男</v>
      </c>
      <c r="F147" s="6" t="str">
        <f>"1999-03-23"</f>
        <v>1999-03-23</v>
      </c>
      <c r="G147" s="6"/>
    </row>
    <row r="148" spans="1:7" ht="30" customHeight="1">
      <c r="A148" s="6">
        <v>146</v>
      </c>
      <c r="B148" s="6" t="str">
        <f>"39212022051421110430555"</f>
        <v>39212022051421110430555</v>
      </c>
      <c r="C148" s="6" t="s">
        <v>21</v>
      </c>
      <c r="D148" s="6" t="str">
        <f>"黎香花"</f>
        <v>黎香花</v>
      </c>
      <c r="E148" s="6" t="str">
        <f>"女"</f>
        <v>女</v>
      </c>
      <c r="F148" s="6" t="str">
        <f>"1998-10-24"</f>
        <v>1998-10-24</v>
      </c>
      <c r="G148" s="6"/>
    </row>
    <row r="149" spans="1:7" ht="30" customHeight="1">
      <c r="A149" s="6">
        <v>147</v>
      </c>
      <c r="B149" s="6" t="str">
        <f>"39212022051422105030594"</f>
        <v>39212022051422105030594</v>
      </c>
      <c r="C149" s="6" t="s">
        <v>21</v>
      </c>
      <c r="D149" s="6" t="str">
        <f>"蔡佳明"</f>
        <v>蔡佳明</v>
      </c>
      <c r="E149" s="6" t="str">
        <f>"男"</f>
        <v>男</v>
      </c>
      <c r="F149" s="6" t="str">
        <f>"2000-09-09"</f>
        <v>2000-09-09</v>
      </c>
      <c r="G149" s="6"/>
    </row>
    <row r="150" spans="1:7" ht="30" customHeight="1">
      <c r="A150" s="6">
        <v>148</v>
      </c>
      <c r="B150" s="6" t="str">
        <f>"39212022051512253230805"</f>
        <v>39212022051512253230805</v>
      </c>
      <c r="C150" s="6" t="s">
        <v>21</v>
      </c>
      <c r="D150" s="6" t="str">
        <f>"黄媛"</f>
        <v>黄媛</v>
      </c>
      <c r="E150" s="6" t="str">
        <f>"女"</f>
        <v>女</v>
      </c>
      <c r="F150" s="6" t="str">
        <f>"2000-11-26"</f>
        <v>2000-11-26</v>
      </c>
      <c r="G150" s="6"/>
    </row>
    <row r="151" spans="1:7" ht="30" customHeight="1">
      <c r="A151" s="6">
        <v>149</v>
      </c>
      <c r="B151" s="6" t="str">
        <f>"39212022051518394131061"</f>
        <v>39212022051518394131061</v>
      </c>
      <c r="C151" s="6" t="s">
        <v>21</v>
      </c>
      <c r="D151" s="6" t="str">
        <f>"王雄发"</f>
        <v>王雄发</v>
      </c>
      <c r="E151" s="6" t="str">
        <f>"男"</f>
        <v>男</v>
      </c>
      <c r="F151" s="6" t="str">
        <f>"1999-07-12"</f>
        <v>1999-07-12</v>
      </c>
      <c r="G151" s="6"/>
    </row>
    <row r="152" spans="1:7" ht="30" customHeight="1">
      <c r="A152" s="6">
        <v>150</v>
      </c>
      <c r="B152" s="6" t="str">
        <f>"39212022051615373831903"</f>
        <v>39212022051615373831903</v>
      </c>
      <c r="C152" s="6" t="s">
        <v>21</v>
      </c>
      <c r="D152" s="6" t="str">
        <f>"陈柏宇"</f>
        <v>陈柏宇</v>
      </c>
      <c r="E152" s="6" t="str">
        <f>"男"</f>
        <v>男</v>
      </c>
      <c r="F152" s="6" t="str">
        <f>"2001-04-06"</f>
        <v>2001-04-06</v>
      </c>
      <c r="G152" s="6"/>
    </row>
    <row r="153" spans="1:7" ht="30" customHeight="1">
      <c r="A153" s="6">
        <v>151</v>
      </c>
      <c r="B153" s="6" t="str">
        <f>"39212022051715185933583"</f>
        <v>39212022051715185933583</v>
      </c>
      <c r="C153" s="6" t="s">
        <v>21</v>
      </c>
      <c r="D153" s="6" t="str">
        <f>"王晶"</f>
        <v>王晶</v>
      </c>
      <c r="E153" s="6" t="str">
        <f>"女"</f>
        <v>女</v>
      </c>
      <c r="F153" s="6" t="str">
        <f>"1997-07-21"</f>
        <v>1997-07-21</v>
      </c>
      <c r="G153" s="6"/>
    </row>
    <row r="154" spans="1:7" ht="30" customHeight="1">
      <c r="A154" s="6">
        <v>152</v>
      </c>
      <c r="B154" s="6" t="str">
        <f>"39212022051719181533960"</f>
        <v>39212022051719181533960</v>
      </c>
      <c r="C154" s="6" t="s">
        <v>21</v>
      </c>
      <c r="D154" s="6" t="str">
        <f>"黎巧妙"</f>
        <v>黎巧妙</v>
      </c>
      <c r="E154" s="6" t="str">
        <f>"女"</f>
        <v>女</v>
      </c>
      <c r="F154" s="6" t="str">
        <f>"1999-06-04"</f>
        <v>1999-06-04</v>
      </c>
      <c r="G154" s="6"/>
    </row>
    <row r="155" spans="1:7" ht="30" customHeight="1">
      <c r="A155" s="6">
        <v>153</v>
      </c>
      <c r="B155" s="6" t="str">
        <f>"39212022051722365334647"</f>
        <v>39212022051722365334647</v>
      </c>
      <c r="C155" s="6" t="s">
        <v>21</v>
      </c>
      <c r="D155" s="6" t="str">
        <f>"黄志华"</f>
        <v>黄志华</v>
      </c>
      <c r="E155" s="6" t="str">
        <f>"男"</f>
        <v>男</v>
      </c>
      <c r="F155" s="6" t="str">
        <f>"2000-01-27"</f>
        <v>2000-01-27</v>
      </c>
      <c r="G155" s="6"/>
    </row>
    <row r="156" spans="1:7" ht="30" customHeight="1">
      <c r="A156" s="6">
        <v>154</v>
      </c>
      <c r="B156" s="6" t="str">
        <f>"39212022051801382734882"</f>
        <v>39212022051801382734882</v>
      </c>
      <c r="C156" s="6" t="s">
        <v>21</v>
      </c>
      <c r="D156" s="6" t="str">
        <f>"柯晴"</f>
        <v>柯晴</v>
      </c>
      <c r="E156" s="6" t="str">
        <f>"女"</f>
        <v>女</v>
      </c>
      <c r="F156" s="6" t="str">
        <f>"2001-02-18"</f>
        <v>2001-02-18</v>
      </c>
      <c r="G156" s="6"/>
    </row>
    <row r="157" spans="1:7" ht="30" customHeight="1">
      <c r="A157" s="6">
        <v>155</v>
      </c>
      <c r="B157" s="6" t="str">
        <f>"39212022051809291435179"</f>
        <v>39212022051809291435179</v>
      </c>
      <c r="C157" s="6" t="s">
        <v>21</v>
      </c>
      <c r="D157" s="6" t="str">
        <f>"邢益玉"</f>
        <v>邢益玉</v>
      </c>
      <c r="E157" s="6" t="str">
        <f>"女"</f>
        <v>女</v>
      </c>
      <c r="F157" s="6" t="str">
        <f>"2000-06-03"</f>
        <v>2000-06-03</v>
      </c>
      <c r="G157" s="6"/>
    </row>
    <row r="158" spans="1:7" ht="30" customHeight="1">
      <c r="A158" s="6">
        <v>156</v>
      </c>
      <c r="B158" s="6" t="str">
        <f>"39212022051810430935411"</f>
        <v>39212022051810430935411</v>
      </c>
      <c r="C158" s="6" t="s">
        <v>21</v>
      </c>
      <c r="D158" s="6" t="str">
        <f>"朱法錕"</f>
        <v>朱法錕</v>
      </c>
      <c r="E158" s="6" t="str">
        <f>"男"</f>
        <v>男</v>
      </c>
      <c r="F158" s="6" t="str">
        <f>"1999-01-21"</f>
        <v>1999-01-21</v>
      </c>
      <c r="G158" s="6"/>
    </row>
    <row r="159" spans="1:7" ht="30" customHeight="1">
      <c r="A159" s="6">
        <v>157</v>
      </c>
      <c r="B159" s="6" t="str">
        <f>"39212022051810562235455"</f>
        <v>39212022051810562235455</v>
      </c>
      <c r="C159" s="6" t="s">
        <v>21</v>
      </c>
      <c r="D159" s="6" t="str">
        <f>"卢荟"</f>
        <v>卢荟</v>
      </c>
      <c r="E159" s="6" t="str">
        <f>"女"</f>
        <v>女</v>
      </c>
      <c r="F159" s="6" t="str">
        <f>"2000-08-29"</f>
        <v>2000-08-29</v>
      </c>
      <c r="G159" s="6"/>
    </row>
    <row r="160" spans="1:7" ht="30" customHeight="1">
      <c r="A160" s="6">
        <v>158</v>
      </c>
      <c r="B160" s="6" t="str">
        <f>"3921202205121114427797"</f>
        <v>3921202205121114427797</v>
      </c>
      <c r="C160" s="6" t="s">
        <v>22</v>
      </c>
      <c r="D160" s="6" t="str">
        <f>"张泽旗"</f>
        <v>张泽旗</v>
      </c>
      <c r="E160" s="6" t="str">
        <f>"男"</f>
        <v>男</v>
      </c>
      <c r="F160" s="6" t="str">
        <f>"1992-07-28"</f>
        <v>1992-07-28</v>
      </c>
      <c r="G160" s="6"/>
    </row>
    <row r="161" spans="1:7" ht="30" customHeight="1">
      <c r="A161" s="6">
        <v>159</v>
      </c>
      <c r="B161" s="6" t="str">
        <f>"39212022051411005030213"</f>
        <v>39212022051411005030213</v>
      </c>
      <c r="C161" s="6" t="s">
        <v>22</v>
      </c>
      <c r="D161" s="6" t="str">
        <f>"伊美"</f>
        <v>伊美</v>
      </c>
      <c r="E161" s="6" t="str">
        <f>"女"</f>
        <v>女</v>
      </c>
      <c r="F161" s="6" t="str">
        <f>"1995-05-22"</f>
        <v>1995-05-22</v>
      </c>
      <c r="G161" s="6"/>
    </row>
    <row r="162" spans="1:7" ht="30" customHeight="1">
      <c r="A162" s="6">
        <v>160</v>
      </c>
      <c r="B162" s="6" t="str">
        <f>"39212022051419431830506"</f>
        <v>39212022051419431830506</v>
      </c>
      <c r="C162" s="6" t="s">
        <v>22</v>
      </c>
      <c r="D162" s="6" t="str">
        <f>"谷丽瑶"</f>
        <v>谷丽瑶</v>
      </c>
      <c r="E162" s="6" t="str">
        <f>"女"</f>
        <v>女</v>
      </c>
      <c r="F162" s="6" t="str">
        <f>"1996-02-03"</f>
        <v>1996-02-03</v>
      </c>
      <c r="G162" s="6"/>
    </row>
    <row r="163" spans="1:7" ht="30" customHeight="1">
      <c r="A163" s="6">
        <v>161</v>
      </c>
      <c r="B163" s="6" t="str">
        <f>"39212022051621152332762"</f>
        <v>39212022051621152332762</v>
      </c>
      <c r="C163" s="6" t="s">
        <v>22</v>
      </c>
      <c r="D163" s="6" t="str">
        <f>"钱晓田"</f>
        <v>钱晓田</v>
      </c>
      <c r="E163" s="6" t="str">
        <f>"女"</f>
        <v>女</v>
      </c>
      <c r="F163" s="6" t="str">
        <f>"1996-10-22"</f>
        <v>1996-10-22</v>
      </c>
      <c r="G163" s="6"/>
    </row>
    <row r="164" spans="1:7" ht="30" customHeight="1">
      <c r="A164" s="6">
        <v>162</v>
      </c>
      <c r="B164" s="6" t="str">
        <f>"39212022051713364833442"</f>
        <v>39212022051713364833442</v>
      </c>
      <c r="C164" s="6" t="s">
        <v>22</v>
      </c>
      <c r="D164" s="6" t="str">
        <f>"孙立新"</f>
        <v>孙立新</v>
      </c>
      <c r="E164" s="6" t="str">
        <f>"女"</f>
        <v>女</v>
      </c>
      <c r="F164" s="6" t="str">
        <f>"1996-10-25"</f>
        <v>1996-10-25</v>
      </c>
      <c r="G164" s="6"/>
    </row>
    <row r="165" spans="1:7" ht="30" customHeight="1">
      <c r="A165" s="6">
        <v>163</v>
      </c>
      <c r="B165" s="6" t="str">
        <f>"39212022051714392733521"</f>
        <v>39212022051714392733521</v>
      </c>
      <c r="C165" s="6" t="s">
        <v>22</v>
      </c>
      <c r="D165" s="6" t="str">
        <f>"柳为"</f>
        <v>柳为</v>
      </c>
      <c r="E165" s="6" t="str">
        <f>"男"</f>
        <v>男</v>
      </c>
      <c r="F165" s="6" t="str">
        <f>"1996-11-02"</f>
        <v>1996-11-02</v>
      </c>
      <c r="G165" s="6"/>
    </row>
    <row r="166" spans="1:7" ht="30" customHeight="1">
      <c r="A166" s="6">
        <v>164</v>
      </c>
      <c r="B166" s="6" t="str">
        <f>"3921202205120915337205"</f>
        <v>3921202205120915337205</v>
      </c>
      <c r="C166" s="6" t="s">
        <v>23</v>
      </c>
      <c r="D166" s="6" t="str">
        <f>"黎春子"</f>
        <v>黎春子</v>
      </c>
      <c r="E166" s="6" t="str">
        <f>"男"</f>
        <v>男</v>
      </c>
      <c r="F166" s="6" t="str">
        <f>"1996-04-21"</f>
        <v>1996-04-21</v>
      </c>
      <c r="G166" s="6"/>
    </row>
    <row r="167" spans="1:7" ht="30" customHeight="1">
      <c r="A167" s="6">
        <v>165</v>
      </c>
      <c r="B167" s="6" t="str">
        <f>"3921202205121409588175"</f>
        <v>3921202205121409588175</v>
      </c>
      <c r="C167" s="6" t="s">
        <v>24</v>
      </c>
      <c r="D167" s="6" t="str">
        <f>"王楠"</f>
        <v>王楠</v>
      </c>
      <c r="E167" s="6" t="str">
        <f>"女"</f>
        <v>女</v>
      </c>
      <c r="F167" s="6" t="str">
        <f>"1994-01-01"</f>
        <v>1994-01-01</v>
      </c>
      <c r="G167" s="6"/>
    </row>
    <row r="168" spans="1:7" ht="30" customHeight="1">
      <c r="A168" s="6">
        <v>166</v>
      </c>
      <c r="B168" s="6" t="str">
        <f>"3921202205121531028354"</f>
        <v>3921202205121531028354</v>
      </c>
      <c r="C168" s="6" t="s">
        <v>24</v>
      </c>
      <c r="D168" s="6" t="str">
        <f>"郭丹妮"</f>
        <v>郭丹妮</v>
      </c>
      <c r="E168" s="6" t="str">
        <f>"女"</f>
        <v>女</v>
      </c>
      <c r="F168" s="6" t="str">
        <f>"1995-08-23"</f>
        <v>1995-08-23</v>
      </c>
      <c r="G168" s="6"/>
    </row>
    <row r="169" spans="1:7" ht="30" customHeight="1">
      <c r="A169" s="6">
        <v>167</v>
      </c>
      <c r="B169" s="6" t="str">
        <f>"3921202205122221569148"</f>
        <v>3921202205122221569148</v>
      </c>
      <c r="C169" s="6" t="s">
        <v>24</v>
      </c>
      <c r="D169" s="6" t="str">
        <f>"温达"</f>
        <v>温达</v>
      </c>
      <c r="E169" s="6" t="str">
        <f>"男"</f>
        <v>男</v>
      </c>
      <c r="F169" s="6" t="str">
        <f>"1995-01-25"</f>
        <v>1995-01-25</v>
      </c>
      <c r="G169" s="6"/>
    </row>
    <row r="170" spans="1:7" ht="30" customHeight="1">
      <c r="A170" s="6">
        <v>168</v>
      </c>
      <c r="B170" s="6" t="str">
        <f>"39212022051411361430236"</f>
        <v>39212022051411361430236</v>
      </c>
      <c r="C170" s="6" t="s">
        <v>24</v>
      </c>
      <c r="D170" s="6" t="str">
        <f>"王鹏"</f>
        <v>王鹏</v>
      </c>
      <c r="E170" s="6" t="str">
        <f>"男"</f>
        <v>男</v>
      </c>
      <c r="F170" s="6" t="str">
        <f>"1994-03-31"</f>
        <v>1994-03-31</v>
      </c>
      <c r="G170" s="6"/>
    </row>
    <row r="171" spans="1:7" ht="30" customHeight="1">
      <c r="A171" s="6">
        <v>169</v>
      </c>
      <c r="B171" s="6" t="str">
        <f>"39212022051710434133210"</f>
        <v>39212022051710434133210</v>
      </c>
      <c r="C171" s="6" t="s">
        <v>24</v>
      </c>
      <c r="D171" s="6" t="str">
        <f>"卢倩洁"</f>
        <v>卢倩洁</v>
      </c>
      <c r="E171" s="6" t="str">
        <f>"女"</f>
        <v>女</v>
      </c>
      <c r="F171" s="6" t="str">
        <f>"1997-03-10"</f>
        <v>1997-03-10</v>
      </c>
      <c r="G171" s="6"/>
    </row>
    <row r="172" spans="1:7" ht="30" customHeight="1">
      <c r="A172" s="6">
        <v>170</v>
      </c>
      <c r="B172" s="6" t="str">
        <f>"39212022051810184535336"</f>
        <v>39212022051810184535336</v>
      </c>
      <c r="C172" s="6" t="s">
        <v>24</v>
      </c>
      <c r="D172" s="6" t="str">
        <f>"李睿琦"</f>
        <v>李睿琦</v>
      </c>
      <c r="E172" s="6" t="str">
        <f>"女"</f>
        <v>女</v>
      </c>
      <c r="F172" s="6" t="str">
        <f>"1996-01-03"</f>
        <v>1996-01-03</v>
      </c>
      <c r="G172" s="6"/>
    </row>
    <row r="173" spans="1:7" ht="30" customHeight="1">
      <c r="A173" s="6">
        <v>171</v>
      </c>
      <c r="B173" s="6" t="str">
        <f>"39212022051810502735436"</f>
        <v>39212022051810502735436</v>
      </c>
      <c r="C173" s="6" t="s">
        <v>24</v>
      </c>
      <c r="D173" s="6" t="str">
        <f>"黄云城"</f>
        <v>黄云城</v>
      </c>
      <c r="E173" s="6" t="str">
        <f>"男"</f>
        <v>男</v>
      </c>
      <c r="F173" s="6" t="str">
        <f>"1994-08-06"</f>
        <v>1994-08-06</v>
      </c>
      <c r="G173" s="6"/>
    </row>
    <row r="174" spans="1:7" ht="30" customHeight="1">
      <c r="A174" s="6">
        <v>172</v>
      </c>
      <c r="B174" s="6" t="str">
        <f>"39212022051412405730278"</f>
        <v>39212022051412405730278</v>
      </c>
      <c r="C174" s="6" t="s">
        <v>25</v>
      </c>
      <c r="D174" s="6" t="str">
        <f>"崔芳榕"</f>
        <v>崔芳榕</v>
      </c>
      <c r="E174" s="6" t="str">
        <f aca="true" t="shared" si="4" ref="E174:E188">"女"</f>
        <v>女</v>
      </c>
      <c r="F174" s="6" t="str">
        <f>"1993-07-18"</f>
        <v>1993-07-18</v>
      </c>
      <c r="G174" s="6"/>
    </row>
    <row r="175" spans="1:7" ht="30" customHeight="1">
      <c r="A175" s="6">
        <v>173</v>
      </c>
      <c r="B175" s="6" t="str">
        <f>"39212022051511164330759"</f>
        <v>39212022051511164330759</v>
      </c>
      <c r="C175" s="6" t="s">
        <v>25</v>
      </c>
      <c r="D175" s="6" t="str">
        <f>"郭颖艺"</f>
        <v>郭颖艺</v>
      </c>
      <c r="E175" s="6" t="str">
        <f t="shared" si="4"/>
        <v>女</v>
      </c>
      <c r="F175" s="6" t="str">
        <f>"1994-06-11"</f>
        <v>1994-06-11</v>
      </c>
      <c r="G175" s="6"/>
    </row>
    <row r="176" spans="1:7" ht="30" customHeight="1">
      <c r="A176" s="6">
        <v>174</v>
      </c>
      <c r="B176" s="6" t="str">
        <f>"39212022051519215131082"</f>
        <v>39212022051519215131082</v>
      </c>
      <c r="C176" s="6" t="s">
        <v>25</v>
      </c>
      <c r="D176" s="6" t="str">
        <f>"殷陶"</f>
        <v>殷陶</v>
      </c>
      <c r="E176" s="6" t="str">
        <f t="shared" si="4"/>
        <v>女</v>
      </c>
      <c r="F176" s="6" t="str">
        <f>"1995-08-31"</f>
        <v>1995-08-31</v>
      </c>
      <c r="G176" s="6"/>
    </row>
    <row r="177" spans="1:7" ht="30" customHeight="1">
      <c r="A177" s="6">
        <v>175</v>
      </c>
      <c r="B177" s="6" t="str">
        <f>"39212022051613373531776"</f>
        <v>39212022051613373531776</v>
      </c>
      <c r="C177" s="6" t="s">
        <v>25</v>
      </c>
      <c r="D177" s="6" t="str">
        <f>"尹力"</f>
        <v>尹力</v>
      </c>
      <c r="E177" s="6" t="str">
        <f t="shared" si="4"/>
        <v>女</v>
      </c>
      <c r="F177" s="6" t="str">
        <f>"1995-10-16"</f>
        <v>1995-10-16</v>
      </c>
      <c r="G177" s="6"/>
    </row>
    <row r="178" spans="1:7" ht="30" customHeight="1">
      <c r="A178" s="6">
        <v>176</v>
      </c>
      <c r="B178" s="6" t="str">
        <f>"39212022051717252333800"</f>
        <v>39212022051717252333800</v>
      </c>
      <c r="C178" s="6" t="s">
        <v>25</v>
      </c>
      <c r="D178" s="6" t="str">
        <f>"吕玉芳"</f>
        <v>吕玉芳</v>
      </c>
      <c r="E178" s="6" t="str">
        <f t="shared" si="4"/>
        <v>女</v>
      </c>
      <c r="F178" s="6" t="str">
        <f>"1993-12-29"</f>
        <v>1993-12-29</v>
      </c>
      <c r="G178" s="6"/>
    </row>
    <row r="179" spans="1:7" ht="30" customHeight="1">
      <c r="A179" s="6">
        <v>177</v>
      </c>
      <c r="B179" s="6" t="str">
        <f>"39212022051809375835212"</f>
        <v>39212022051809375835212</v>
      </c>
      <c r="C179" s="6" t="s">
        <v>25</v>
      </c>
      <c r="D179" s="6" t="str">
        <f>"吴扬"</f>
        <v>吴扬</v>
      </c>
      <c r="E179" s="6" t="str">
        <f t="shared" si="4"/>
        <v>女</v>
      </c>
      <c r="F179" s="6" t="str">
        <f>"1990-12-22"</f>
        <v>1990-12-22</v>
      </c>
      <c r="G179" s="6"/>
    </row>
    <row r="180" spans="1:7" ht="30" customHeight="1">
      <c r="A180" s="6">
        <v>178</v>
      </c>
      <c r="B180" s="6" t="str">
        <f>"39212022051409163130136"</f>
        <v>39212022051409163130136</v>
      </c>
      <c r="C180" s="6" t="s">
        <v>26</v>
      </c>
      <c r="D180" s="6" t="str">
        <f>"付惠琳"</f>
        <v>付惠琳</v>
      </c>
      <c r="E180" s="6" t="str">
        <f t="shared" si="4"/>
        <v>女</v>
      </c>
      <c r="F180" s="6" t="str">
        <f>"1995-03-05"</f>
        <v>1995-03-05</v>
      </c>
      <c r="G180" s="6"/>
    </row>
    <row r="181" spans="1:7" ht="30" customHeight="1">
      <c r="A181" s="6">
        <v>179</v>
      </c>
      <c r="B181" s="6" t="str">
        <f>"39212022051412243430268"</f>
        <v>39212022051412243430268</v>
      </c>
      <c r="C181" s="6" t="s">
        <v>26</v>
      </c>
      <c r="D181" s="6" t="str">
        <f>"文姓韵"</f>
        <v>文姓韵</v>
      </c>
      <c r="E181" s="6" t="str">
        <f t="shared" si="4"/>
        <v>女</v>
      </c>
      <c r="F181" s="6" t="str">
        <f>"1996-11-01"</f>
        <v>1996-11-01</v>
      </c>
      <c r="G181" s="6"/>
    </row>
    <row r="182" spans="1:7" ht="30" customHeight="1">
      <c r="A182" s="6">
        <v>180</v>
      </c>
      <c r="B182" s="6" t="str">
        <f>"39212022051621193332765"</f>
        <v>39212022051621193332765</v>
      </c>
      <c r="C182" s="6" t="s">
        <v>26</v>
      </c>
      <c r="D182" s="6" t="str">
        <f>"李兰英"</f>
        <v>李兰英</v>
      </c>
      <c r="E182" s="6" t="str">
        <f t="shared" si="4"/>
        <v>女</v>
      </c>
      <c r="F182" s="6" t="str">
        <f>"1996-03-12"</f>
        <v>1996-03-12</v>
      </c>
      <c r="G182" s="6"/>
    </row>
    <row r="183" spans="1:7" ht="30" customHeight="1">
      <c r="A183" s="6">
        <v>181</v>
      </c>
      <c r="B183" s="6" t="str">
        <f>"39212022051712481233383"</f>
        <v>39212022051712481233383</v>
      </c>
      <c r="C183" s="6" t="s">
        <v>26</v>
      </c>
      <c r="D183" s="6" t="str">
        <f>"姜云晶"</f>
        <v>姜云晶</v>
      </c>
      <c r="E183" s="6" t="str">
        <f t="shared" si="4"/>
        <v>女</v>
      </c>
      <c r="F183" s="6" t="str">
        <f>"1996-05-10"</f>
        <v>1996-05-10</v>
      </c>
      <c r="G183" s="6"/>
    </row>
    <row r="184" spans="1:7" ht="30" customHeight="1">
      <c r="A184" s="6">
        <v>182</v>
      </c>
      <c r="B184" s="6" t="str">
        <f>"39212022051715191433584"</f>
        <v>39212022051715191433584</v>
      </c>
      <c r="C184" s="6" t="s">
        <v>26</v>
      </c>
      <c r="D184" s="6" t="str">
        <f>"潘云洁"</f>
        <v>潘云洁</v>
      </c>
      <c r="E184" s="6" t="str">
        <f t="shared" si="4"/>
        <v>女</v>
      </c>
      <c r="F184" s="6" t="str">
        <f>"1996-02-16"</f>
        <v>1996-02-16</v>
      </c>
      <c r="G184" s="6"/>
    </row>
    <row r="185" spans="1:7" ht="30" customHeight="1">
      <c r="A185" s="6">
        <v>183</v>
      </c>
      <c r="B185" s="6" t="str">
        <f>"39212022051721541134529"</f>
        <v>39212022051721541134529</v>
      </c>
      <c r="C185" s="6" t="s">
        <v>26</v>
      </c>
      <c r="D185" s="6" t="str">
        <f>"解婉桢"</f>
        <v>解婉桢</v>
      </c>
      <c r="E185" s="6" t="str">
        <f t="shared" si="4"/>
        <v>女</v>
      </c>
      <c r="F185" s="6" t="str">
        <f>"1998-02-05"</f>
        <v>1998-02-05</v>
      </c>
      <c r="G185" s="6"/>
    </row>
    <row r="186" spans="1:7" ht="30" customHeight="1">
      <c r="A186" s="6">
        <v>184</v>
      </c>
      <c r="B186" s="6" t="str">
        <f>"39212022051722590834717"</f>
        <v>39212022051722590834717</v>
      </c>
      <c r="C186" s="6" t="s">
        <v>26</v>
      </c>
      <c r="D186" s="6" t="str">
        <f>"吴婉桃"</f>
        <v>吴婉桃</v>
      </c>
      <c r="E186" s="6" t="str">
        <f t="shared" si="4"/>
        <v>女</v>
      </c>
      <c r="F186" s="6" t="str">
        <f>"1998-10-26"</f>
        <v>1998-10-26</v>
      </c>
      <c r="G186" s="6"/>
    </row>
    <row r="187" spans="1:7" ht="30" customHeight="1">
      <c r="A187" s="6">
        <v>185</v>
      </c>
      <c r="B187" s="6" t="str">
        <f>"39212022051811452335585"</f>
        <v>39212022051811452335585</v>
      </c>
      <c r="C187" s="6" t="s">
        <v>26</v>
      </c>
      <c r="D187" s="6" t="str">
        <f>"刑青窈"</f>
        <v>刑青窈</v>
      </c>
      <c r="E187" s="6" t="str">
        <f t="shared" si="4"/>
        <v>女</v>
      </c>
      <c r="F187" s="6" t="str">
        <f>"1998-04-03"</f>
        <v>1998-04-03</v>
      </c>
      <c r="G187" s="6"/>
    </row>
    <row r="188" spans="1:7" ht="30" customHeight="1">
      <c r="A188" s="6">
        <v>186</v>
      </c>
      <c r="B188" s="6" t="str">
        <f>"3921202205121044447673"</f>
        <v>3921202205121044447673</v>
      </c>
      <c r="C188" s="6" t="s">
        <v>27</v>
      </c>
      <c r="D188" s="6" t="str">
        <f>"王海霜"</f>
        <v>王海霜</v>
      </c>
      <c r="E188" s="6" t="str">
        <f t="shared" si="4"/>
        <v>女</v>
      </c>
      <c r="F188" s="6" t="str">
        <f>"1997-06-22"</f>
        <v>1997-06-22</v>
      </c>
      <c r="G188" s="6"/>
    </row>
    <row r="189" spans="1:7" ht="30" customHeight="1">
      <c r="A189" s="6">
        <v>187</v>
      </c>
      <c r="B189" s="6" t="str">
        <f>"3921202205121230148000"</f>
        <v>3921202205121230148000</v>
      </c>
      <c r="C189" s="6" t="s">
        <v>27</v>
      </c>
      <c r="D189" s="6" t="str">
        <f>"陈鹏"</f>
        <v>陈鹏</v>
      </c>
      <c r="E189" s="6" t="str">
        <f>"男"</f>
        <v>男</v>
      </c>
      <c r="F189" s="6" t="str">
        <f>"1998-09-11"</f>
        <v>1998-09-11</v>
      </c>
      <c r="G189" s="6"/>
    </row>
    <row r="190" spans="1:7" ht="30" customHeight="1">
      <c r="A190" s="6">
        <v>188</v>
      </c>
      <c r="B190" s="6" t="str">
        <f>"3921202205121309458074"</f>
        <v>3921202205121309458074</v>
      </c>
      <c r="C190" s="6" t="s">
        <v>27</v>
      </c>
      <c r="D190" s="6" t="str">
        <f>"陈闽明"</f>
        <v>陈闽明</v>
      </c>
      <c r="E190" s="6" t="str">
        <f aca="true" t="shared" si="5" ref="E190:E208">"女"</f>
        <v>女</v>
      </c>
      <c r="F190" s="6" t="str">
        <f>"1998-02-13"</f>
        <v>1998-02-13</v>
      </c>
      <c r="G190" s="6"/>
    </row>
    <row r="191" spans="1:7" ht="30" customHeight="1">
      <c r="A191" s="6">
        <v>189</v>
      </c>
      <c r="B191" s="6" t="str">
        <f>"3921202205121920398797"</f>
        <v>3921202205121920398797</v>
      </c>
      <c r="C191" s="6" t="s">
        <v>27</v>
      </c>
      <c r="D191" s="6" t="str">
        <f>"吴源香"</f>
        <v>吴源香</v>
      </c>
      <c r="E191" s="6" t="str">
        <f t="shared" si="5"/>
        <v>女</v>
      </c>
      <c r="F191" s="6" t="str">
        <f>"1994-03-20"</f>
        <v>1994-03-20</v>
      </c>
      <c r="G191" s="6"/>
    </row>
    <row r="192" spans="1:7" ht="30" customHeight="1">
      <c r="A192" s="6">
        <v>190</v>
      </c>
      <c r="B192" s="6" t="str">
        <f>"3921202205122045438967"</f>
        <v>3921202205122045438967</v>
      </c>
      <c r="C192" s="6" t="s">
        <v>27</v>
      </c>
      <c r="D192" s="6" t="str">
        <f>"孙计星"</f>
        <v>孙计星</v>
      </c>
      <c r="E192" s="6" t="str">
        <f t="shared" si="5"/>
        <v>女</v>
      </c>
      <c r="F192" s="6" t="str">
        <f>"1995-06-13"</f>
        <v>1995-06-13</v>
      </c>
      <c r="G192" s="6"/>
    </row>
    <row r="193" spans="1:7" ht="30" customHeight="1">
      <c r="A193" s="6">
        <v>191</v>
      </c>
      <c r="B193" s="6" t="str">
        <f>"3921202205122155239102"</f>
        <v>3921202205122155239102</v>
      </c>
      <c r="C193" s="6" t="s">
        <v>27</v>
      </c>
      <c r="D193" s="6" t="str">
        <f>"陈琼林"</f>
        <v>陈琼林</v>
      </c>
      <c r="E193" s="6" t="str">
        <f t="shared" si="5"/>
        <v>女</v>
      </c>
      <c r="F193" s="6" t="str">
        <f>"1996-08-10"</f>
        <v>1996-08-10</v>
      </c>
      <c r="G193" s="6"/>
    </row>
    <row r="194" spans="1:7" ht="30" customHeight="1">
      <c r="A194" s="6">
        <v>192</v>
      </c>
      <c r="B194" s="6" t="str">
        <f>"39212022051322072330009"</f>
        <v>39212022051322072330009</v>
      </c>
      <c r="C194" s="6" t="s">
        <v>27</v>
      </c>
      <c r="D194" s="6" t="str">
        <f>"孙昌菁"</f>
        <v>孙昌菁</v>
      </c>
      <c r="E194" s="6" t="str">
        <f t="shared" si="5"/>
        <v>女</v>
      </c>
      <c r="F194" s="6" t="str">
        <f>"1994-06-09"</f>
        <v>1994-06-09</v>
      </c>
      <c r="G194" s="6"/>
    </row>
    <row r="195" spans="1:7" ht="30" customHeight="1">
      <c r="A195" s="6">
        <v>193</v>
      </c>
      <c r="B195" s="6" t="str">
        <f>"39212022051409572230161"</f>
        <v>39212022051409572230161</v>
      </c>
      <c r="C195" s="6" t="s">
        <v>27</v>
      </c>
      <c r="D195" s="6" t="str">
        <f>"孙鸿芸"</f>
        <v>孙鸿芸</v>
      </c>
      <c r="E195" s="6" t="str">
        <f t="shared" si="5"/>
        <v>女</v>
      </c>
      <c r="F195" s="6" t="str">
        <f>"1990-05-14"</f>
        <v>1990-05-14</v>
      </c>
      <c r="G195" s="6"/>
    </row>
    <row r="196" spans="1:7" ht="30" customHeight="1">
      <c r="A196" s="6">
        <v>194</v>
      </c>
      <c r="B196" s="6" t="str">
        <f>"39212022051410341230187"</f>
        <v>39212022051410341230187</v>
      </c>
      <c r="C196" s="6" t="s">
        <v>27</v>
      </c>
      <c r="D196" s="6" t="str">
        <f>"林赞姣"</f>
        <v>林赞姣</v>
      </c>
      <c r="E196" s="6" t="str">
        <f t="shared" si="5"/>
        <v>女</v>
      </c>
      <c r="F196" s="6" t="str">
        <f>"1992-04-05"</f>
        <v>1992-04-05</v>
      </c>
      <c r="G196" s="6"/>
    </row>
    <row r="197" spans="1:7" ht="30" customHeight="1">
      <c r="A197" s="6">
        <v>195</v>
      </c>
      <c r="B197" s="6" t="str">
        <f>"39212022051416145030401"</f>
        <v>39212022051416145030401</v>
      </c>
      <c r="C197" s="6" t="s">
        <v>27</v>
      </c>
      <c r="D197" s="6" t="str">
        <f>"蔡苏姗"</f>
        <v>蔡苏姗</v>
      </c>
      <c r="E197" s="6" t="str">
        <f t="shared" si="5"/>
        <v>女</v>
      </c>
      <c r="F197" s="6" t="str">
        <f>"1993-04-01"</f>
        <v>1993-04-01</v>
      </c>
      <c r="G197" s="6"/>
    </row>
    <row r="198" spans="1:7" ht="30" customHeight="1">
      <c r="A198" s="6">
        <v>196</v>
      </c>
      <c r="B198" s="6" t="str">
        <f>"39212022051423210430621"</f>
        <v>39212022051423210430621</v>
      </c>
      <c r="C198" s="6" t="s">
        <v>27</v>
      </c>
      <c r="D198" s="6" t="str">
        <f>"陈嘉慧"</f>
        <v>陈嘉慧</v>
      </c>
      <c r="E198" s="6" t="str">
        <f t="shared" si="5"/>
        <v>女</v>
      </c>
      <c r="F198" s="6" t="str">
        <f>"1998-03-23"</f>
        <v>1998-03-23</v>
      </c>
      <c r="G198" s="6"/>
    </row>
    <row r="199" spans="1:7" ht="30" customHeight="1">
      <c r="A199" s="6">
        <v>197</v>
      </c>
      <c r="B199" s="6" t="str">
        <f>"39212022051509363830688"</f>
        <v>39212022051509363830688</v>
      </c>
      <c r="C199" s="6" t="s">
        <v>27</v>
      </c>
      <c r="D199" s="6" t="str">
        <f>"郭冬雪"</f>
        <v>郭冬雪</v>
      </c>
      <c r="E199" s="6" t="str">
        <f t="shared" si="5"/>
        <v>女</v>
      </c>
      <c r="F199" s="6" t="str">
        <f>"1993-09-25"</f>
        <v>1993-09-25</v>
      </c>
      <c r="G199" s="6"/>
    </row>
    <row r="200" spans="1:7" ht="30" customHeight="1">
      <c r="A200" s="6">
        <v>198</v>
      </c>
      <c r="B200" s="6" t="str">
        <f>"39212022051515261530912"</f>
        <v>39212022051515261530912</v>
      </c>
      <c r="C200" s="6" t="s">
        <v>27</v>
      </c>
      <c r="D200" s="6" t="str">
        <f>"吴仁芳"</f>
        <v>吴仁芳</v>
      </c>
      <c r="E200" s="6" t="str">
        <f t="shared" si="5"/>
        <v>女</v>
      </c>
      <c r="F200" s="6" t="str">
        <f>"1999-03-29"</f>
        <v>1999-03-29</v>
      </c>
      <c r="G200" s="6"/>
    </row>
    <row r="201" spans="1:7" ht="30" customHeight="1">
      <c r="A201" s="6">
        <v>199</v>
      </c>
      <c r="B201" s="6" t="str">
        <f>"39212022051518191731044"</f>
        <v>39212022051518191731044</v>
      </c>
      <c r="C201" s="6" t="s">
        <v>27</v>
      </c>
      <c r="D201" s="6" t="str">
        <f>"孙霄"</f>
        <v>孙霄</v>
      </c>
      <c r="E201" s="6" t="str">
        <f t="shared" si="5"/>
        <v>女</v>
      </c>
      <c r="F201" s="6" t="str">
        <f>"1987-02-18"</f>
        <v>1987-02-18</v>
      </c>
      <c r="G201" s="6"/>
    </row>
    <row r="202" spans="1:7" ht="30" customHeight="1">
      <c r="A202" s="6">
        <v>200</v>
      </c>
      <c r="B202" s="6" t="str">
        <f>"39212022051614230331804"</f>
        <v>39212022051614230331804</v>
      </c>
      <c r="C202" s="6" t="s">
        <v>27</v>
      </c>
      <c r="D202" s="6" t="str">
        <f>"罗婷"</f>
        <v>罗婷</v>
      </c>
      <c r="E202" s="6" t="str">
        <f t="shared" si="5"/>
        <v>女</v>
      </c>
      <c r="F202" s="6" t="str">
        <f>"1995-04-01"</f>
        <v>1995-04-01</v>
      </c>
      <c r="G202" s="6"/>
    </row>
    <row r="203" spans="1:7" ht="30" customHeight="1">
      <c r="A203" s="6">
        <v>201</v>
      </c>
      <c r="B203" s="6" t="str">
        <f>"39212022051615151631862"</f>
        <v>39212022051615151631862</v>
      </c>
      <c r="C203" s="6" t="s">
        <v>27</v>
      </c>
      <c r="D203" s="6" t="str">
        <f>"文雯"</f>
        <v>文雯</v>
      </c>
      <c r="E203" s="6" t="str">
        <f t="shared" si="5"/>
        <v>女</v>
      </c>
      <c r="F203" s="6" t="str">
        <f>"1996-04-30"</f>
        <v>1996-04-30</v>
      </c>
      <c r="G203" s="6"/>
    </row>
    <row r="204" spans="1:7" ht="30" customHeight="1">
      <c r="A204" s="6">
        <v>202</v>
      </c>
      <c r="B204" s="6" t="str">
        <f>"39212022051620431032711"</f>
        <v>39212022051620431032711</v>
      </c>
      <c r="C204" s="6" t="s">
        <v>27</v>
      </c>
      <c r="D204" s="6" t="str">
        <f>"田媛"</f>
        <v>田媛</v>
      </c>
      <c r="E204" s="6" t="str">
        <f t="shared" si="5"/>
        <v>女</v>
      </c>
      <c r="F204" s="6" t="str">
        <f>"1998-04-15"</f>
        <v>1998-04-15</v>
      </c>
      <c r="G204" s="6"/>
    </row>
    <row r="205" spans="1:7" ht="30" customHeight="1">
      <c r="A205" s="6">
        <v>203</v>
      </c>
      <c r="B205" s="6" t="str">
        <f>"39212022051623582232923"</f>
        <v>39212022051623582232923</v>
      </c>
      <c r="C205" s="6" t="s">
        <v>27</v>
      </c>
      <c r="D205" s="6" t="str">
        <f>"陈日丽"</f>
        <v>陈日丽</v>
      </c>
      <c r="E205" s="6" t="str">
        <f t="shared" si="5"/>
        <v>女</v>
      </c>
      <c r="F205" s="6" t="str">
        <f>"1995-08-10"</f>
        <v>1995-08-10</v>
      </c>
      <c r="G205" s="6"/>
    </row>
    <row r="206" spans="1:7" ht="30" customHeight="1">
      <c r="A206" s="6">
        <v>204</v>
      </c>
      <c r="B206" s="6" t="str">
        <f>"39212022051710100133161"</f>
        <v>39212022051710100133161</v>
      </c>
      <c r="C206" s="6" t="s">
        <v>27</v>
      </c>
      <c r="D206" s="6" t="str">
        <f>"常耀"</f>
        <v>常耀</v>
      </c>
      <c r="E206" s="6" t="str">
        <f t="shared" si="5"/>
        <v>女</v>
      </c>
      <c r="F206" s="6" t="str">
        <f>"1995-09-20"</f>
        <v>1995-09-20</v>
      </c>
      <c r="G206" s="6"/>
    </row>
    <row r="207" spans="1:7" ht="30" customHeight="1">
      <c r="A207" s="6">
        <v>205</v>
      </c>
      <c r="B207" s="6" t="str">
        <f>"39212022051712544233392"</f>
        <v>39212022051712544233392</v>
      </c>
      <c r="C207" s="6" t="s">
        <v>27</v>
      </c>
      <c r="D207" s="6" t="str">
        <f>"刘爽"</f>
        <v>刘爽</v>
      </c>
      <c r="E207" s="6" t="str">
        <f t="shared" si="5"/>
        <v>女</v>
      </c>
      <c r="F207" s="6" t="str">
        <f>"1996-12-08"</f>
        <v>1996-12-08</v>
      </c>
      <c r="G207" s="6"/>
    </row>
    <row r="208" spans="1:7" ht="30" customHeight="1">
      <c r="A208" s="6">
        <v>206</v>
      </c>
      <c r="B208" s="6" t="str">
        <f>"39212022051718432833911"</f>
        <v>39212022051718432833911</v>
      </c>
      <c r="C208" s="6" t="s">
        <v>27</v>
      </c>
      <c r="D208" s="6" t="str">
        <f>"陈颖莹"</f>
        <v>陈颖莹</v>
      </c>
      <c r="E208" s="6" t="str">
        <f t="shared" si="5"/>
        <v>女</v>
      </c>
      <c r="F208" s="6" t="str">
        <f>"1996-11-25"</f>
        <v>1996-11-25</v>
      </c>
      <c r="G208" s="6"/>
    </row>
    <row r="209" spans="1:7" ht="30" customHeight="1">
      <c r="A209" s="6">
        <v>207</v>
      </c>
      <c r="B209" s="6" t="str">
        <f>"39212022051719241433964"</f>
        <v>39212022051719241433964</v>
      </c>
      <c r="C209" s="6" t="s">
        <v>27</v>
      </c>
      <c r="D209" s="6" t="str">
        <f>"石磊"</f>
        <v>石磊</v>
      </c>
      <c r="E209" s="6" t="str">
        <f>"男"</f>
        <v>男</v>
      </c>
      <c r="F209" s="6" t="str">
        <f>"1989-10-12"</f>
        <v>1989-10-12</v>
      </c>
      <c r="G209" s="6"/>
    </row>
    <row r="210" spans="1:7" ht="30" customHeight="1">
      <c r="A210" s="6">
        <v>208</v>
      </c>
      <c r="B210" s="6" t="str">
        <f>"39212022051720073034082"</f>
        <v>39212022051720073034082</v>
      </c>
      <c r="C210" s="6" t="s">
        <v>27</v>
      </c>
      <c r="D210" s="6" t="str">
        <f>"吴日妙"</f>
        <v>吴日妙</v>
      </c>
      <c r="E210" s="6" t="str">
        <f aca="true" t="shared" si="6" ref="E210:E217">"女"</f>
        <v>女</v>
      </c>
      <c r="F210" s="6" t="str">
        <f>"1998-10-02"</f>
        <v>1998-10-02</v>
      </c>
      <c r="G210" s="6"/>
    </row>
    <row r="211" spans="1:7" ht="30" customHeight="1">
      <c r="A211" s="6">
        <v>209</v>
      </c>
      <c r="B211" s="6" t="str">
        <f>"39212022051722012334544"</f>
        <v>39212022051722012334544</v>
      </c>
      <c r="C211" s="6" t="s">
        <v>27</v>
      </c>
      <c r="D211" s="6" t="str">
        <f>"吴肖丽"</f>
        <v>吴肖丽</v>
      </c>
      <c r="E211" s="6" t="str">
        <f t="shared" si="6"/>
        <v>女</v>
      </c>
      <c r="F211" s="6" t="str">
        <f>"1991-05-28"</f>
        <v>1991-05-28</v>
      </c>
      <c r="G211" s="6"/>
    </row>
    <row r="212" spans="1:7" ht="30" customHeight="1">
      <c r="A212" s="6">
        <v>210</v>
      </c>
      <c r="B212" s="6" t="str">
        <f>"39212022051800245734855"</f>
        <v>39212022051800245734855</v>
      </c>
      <c r="C212" s="6" t="s">
        <v>27</v>
      </c>
      <c r="D212" s="6" t="str">
        <f>"彭寿芬"</f>
        <v>彭寿芬</v>
      </c>
      <c r="E212" s="6" t="str">
        <f t="shared" si="6"/>
        <v>女</v>
      </c>
      <c r="F212" s="6" t="str">
        <f>"1997-11-08"</f>
        <v>1997-11-08</v>
      </c>
      <c r="G212" s="6"/>
    </row>
    <row r="213" spans="1:7" ht="30" customHeight="1">
      <c r="A213" s="6">
        <v>211</v>
      </c>
      <c r="B213" s="6" t="str">
        <f>"3921202205120817127032"</f>
        <v>3921202205120817127032</v>
      </c>
      <c r="C213" s="6" t="s">
        <v>28</v>
      </c>
      <c r="D213" s="6" t="str">
        <f>"裴欣赏"</f>
        <v>裴欣赏</v>
      </c>
      <c r="E213" s="6" t="str">
        <f t="shared" si="6"/>
        <v>女</v>
      </c>
      <c r="F213" s="6" t="str">
        <f>"1999-02-08"</f>
        <v>1999-02-08</v>
      </c>
      <c r="G213" s="6"/>
    </row>
    <row r="214" spans="1:7" ht="30" customHeight="1">
      <c r="A214" s="6">
        <v>212</v>
      </c>
      <c r="B214" s="6" t="str">
        <f>"39212022051622092932830"</f>
        <v>39212022051622092932830</v>
      </c>
      <c r="C214" s="6" t="s">
        <v>28</v>
      </c>
      <c r="D214" s="6" t="str">
        <f>"张敏妮"</f>
        <v>张敏妮</v>
      </c>
      <c r="E214" s="6" t="str">
        <f t="shared" si="6"/>
        <v>女</v>
      </c>
      <c r="F214" s="6" t="str">
        <f>"1994-07-20"</f>
        <v>1994-07-20</v>
      </c>
      <c r="G214" s="6"/>
    </row>
    <row r="215" spans="1:7" ht="30" customHeight="1">
      <c r="A215" s="6">
        <v>213</v>
      </c>
      <c r="B215" s="6" t="str">
        <f>"39212022051722352034639"</f>
        <v>39212022051722352034639</v>
      </c>
      <c r="C215" s="6" t="s">
        <v>28</v>
      </c>
      <c r="D215" s="6" t="str">
        <f>"周芮"</f>
        <v>周芮</v>
      </c>
      <c r="E215" s="6" t="str">
        <f t="shared" si="6"/>
        <v>女</v>
      </c>
      <c r="F215" s="6" t="str">
        <f>"1992-09-26"</f>
        <v>1992-09-26</v>
      </c>
      <c r="G215" s="6"/>
    </row>
    <row r="216" spans="1:7" ht="30" customHeight="1">
      <c r="A216" s="6">
        <v>214</v>
      </c>
      <c r="B216" s="6" t="str">
        <f>"3921202205121132557850"</f>
        <v>3921202205121132557850</v>
      </c>
      <c r="C216" s="6" t="s">
        <v>29</v>
      </c>
      <c r="D216" s="6" t="str">
        <f>"王艺烨"</f>
        <v>王艺烨</v>
      </c>
      <c r="E216" s="6" t="str">
        <f t="shared" si="6"/>
        <v>女</v>
      </c>
      <c r="F216" s="6" t="str">
        <f>"1995-10-09"</f>
        <v>1995-10-09</v>
      </c>
      <c r="G216" s="6"/>
    </row>
    <row r="217" spans="1:7" ht="30" customHeight="1">
      <c r="A217" s="6">
        <v>215</v>
      </c>
      <c r="B217" s="6" t="str">
        <f>"3921202205121516208307"</f>
        <v>3921202205121516208307</v>
      </c>
      <c r="C217" s="6" t="s">
        <v>29</v>
      </c>
      <c r="D217" s="6" t="str">
        <f>"韦小娟"</f>
        <v>韦小娟</v>
      </c>
      <c r="E217" s="6" t="str">
        <f t="shared" si="6"/>
        <v>女</v>
      </c>
      <c r="F217" s="6" t="str">
        <f>"1996-01-02"</f>
        <v>1996-01-02</v>
      </c>
      <c r="G217" s="6"/>
    </row>
    <row r="218" spans="1:7" ht="30" customHeight="1">
      <c r="A218" s="6">
        <v>216</v>
      </c>
      <c r="B218" s="6" t="str">
        <f>"3921202205121532438362"</f>
        <v>3921202205121532438362</v>
      </c>
      <c r="C218" s="6" t="s">
        <v>29</v>
      </c>
      <c r="D218" s="6" t="str">
        <f>"李浩充"</f>
        <v>李浩充</v>
      </c>
      <c r="E218" s="6" t="str">
        <f>"男"</f>
        <v>男</v>
      </c>
      <c r="F218" s="6" t="str">
        <f>"1996-02-26"</f>
        <v>1996-02-26</v>
      </c>
      <c r="G218" s="6"/>
    </row>
    <row r="219" spans="1:7" ht="30" customHeight="1">
      <c r="A219" s="6">
        <v>217</v>
      </c>
      <c r="B219" s="6" t="str">
        <f>"39212022051410450430199"</f>
        <v>39212022051410450430199</v>
      </c>
      <c r="C219" s="6" t="s">
        <v>29</v>
      </c>
      <c r="D219" s="6" t="str">
        <f>"麦慧珍"</f>
        <v>麦慧珍</v>
      </c>
      <c r="E219" s="6" t="str">
        <f aca="true" t="shared" si="7" ref="E219:E233">"女"</f>
        <v>女</v>
      </c>
      <c r="F219" s="6" t="str">
        <f>"1996-01-27"</f>
        <v>1996-01-27</v>
      </c>
      <c r="G219" s="6"/>
    </row>
    <row r="220" spans="1:7" ht="30" customHeight="1">
      <c r="A220" s="6">
        <v>218</v>
      </c>
      <c r="B220" s="6" t="str">
        <f>"39212022051621302532783"</f>
        <v>39212022051621302532783</v>
      </c>
      <c r="C220" s="6" t="s">
        <v>29</v>
      </c>
      <c r="D220" s="6" t="str">
        <f>"冯雪梅"</f>
        <v>冯雪梅</v>
      </c>
      <c r="E220" s="6" t="str">
        <f t="shared" si="7"/>
        <v>女</v>
      </c>
      <c r="F220" s="6" t="str">
        <f>"1994-11-02"</f>
        <v>1994-11-02</v>
      </c>
      <c r="G220" s="6"/>
    </row>
    <row r="221" spans="1:7" ht="30" customHeight="1">
      <c r="A221" s="6">
        <v>219</v>
      </c>
      <c r="B221" s="6" t="str">
        <f>"39212022051709511133130"</f>
        <v>39212022051709511133130</v>
      </c>
      <c r="C221" s="6" t="s">
        <v>29</v>
      </c>
      <c r="D221" s="6" t="str">
        <f>"陈义姬"</f>
        <v>陈义姬</v>
      </c>
      <c r="E221" s="6" t="str">
        <f t="shared" si="7"/>
        <v>女</v>
      </c>
      <c r="F221" s="6" t="str">
        <f>"1995-04-24"</f>
        <v>1995-04-24</v>
      </c>
      <c r="G221" s="6"/>
    </row>
    <row r="222" spans="1:7" ht="30" customHeight="1">
      <c r="A222" s="6">
        <v>220</v>
      </c>
      <c r="B222" s="6" t="str">
        <f>"3921202205131122159574"</f>
        <v>3921202205131122159574</v>
      </c>
      <c r="C222" s="6" t="s">
        <v>30</v>
      </c>
      <c r="D222" s="6" t="str">
        <f>"叶秋丽"</f>
        <v>叶秋丽</v>
      </c>
      <c r="E222" s="6" t="str">
        <f t="shared" si="7"/>
        <v>女</v>
      </c>
      <c r="F222" s="6" t="str">
        <f>"1996-07-26"</f>
        <v>1996-07-26</v>
      </c>
      <c r="G222" s="6"/>
    </row>
    <row r="223" spans="1:7" ht="30" customHeight="1">
      <c r="A223" s="6">
        <v>221</v>
      </c>
      <c r="B223" s="6" t="str">
        <f>"3921202205120809107030"</f>
        <v>3921202205120809107030</v>
      </c>
      <c r="C223" s="6" t="s">
        <v>31</v>
      </c>
      <c r="D223" s="6" t="str">
        <f>"廖选南"</f>
        <v>廖选南</v>
      </c>
      <c r="E223" s="6" t="str">
        <f t="shared" si="7"/>
        <v>女</v>
      </c>
      <c r="F223" s="6" t="str">
        <f>"2000-09-24"</f>
        <v>2000-09-24</v>
      </c>
      <c r="G223" s="6"/>
    </row>
    <row r="224" spans="1:7" ht="30" customHeight="1">
      <c r="A224" s="6">
        <v>222</v>
      </c>
      <c r="B224" s="6" t="str">
        <f>"3921202205120812227031"</f>
        <v>3921202205120812227031</v>
      </c>
      <c r="C224" s="6" t="s">
        <v>31</v>
      </c>
      <c r="D224" s="6" t="str">
        <f>"黎经婉"</f>
        <v>黎经婉</v>
      </c>
      <c r="E224" s="6" t="str">
        <f t="shared" si="7"/>
        <v>女</v>
      </c>
      <c r="F224" s="6" t="str">
        <f>"1999-02-14"</f>
        <v>1999-02-14</v>
      </c>
      <c r="G224" s="6"/>
    </row>
    <row r="225" spans="1:7" ht="30" customHeight="1">
      <c r="A225" s="6">
        <v>223</v>
      </c>
      <c r="B225" s="6" t="str">
        <f>"3921202205120838457043"</f>
        <v>3921202205120838457043</v>
      </c>
      <c r="C225" s="6" t="s">
        <v>31</v>
      </c>
      <c r="D225" s="6" t="str">
        <f>"曾三珠"</f>
        <v>曾三珠</v>
      </c>
      <c r="E225" s="6" t="str">
        <f t="shared" si="7"/>
        <v>女</v>
      </c>
      <c r="F225" s="6" t="str">
        <f>"1999-09-13"</f>
        <v>1999-09-13</v>
      </c>
      <c r="G225" s="6"/>
    </row>
    <row r="226" spans="1:7" ht="30" customHeight="1">
      <c r="A226" s="6">
        <v>224</v>
      </c>
      <c r="B226" s="6" t="str">
        <f>"3921202205120847397053"</f>
        <v>3921202205120847397053</v>
      </c>
      <c r="C226" s="6" t="s">
        <v>31</v>
      </c>
      <c r="D226" s="6" t="str">
        <f>"邢增海"</f>
        <v>邢增海</v>
      </c>
      <c r="E226" s="6" t="str">
        <f t="shared" si="7"/>
        <v>女</v>
      </c>
      <c r="F226" s="6" t="str">
        <f>"1993-04-08"</f>
        <v>1993-04-08</v>
      </c>
      <c r="G226" s="6"/>
    </row>
    <row r="227" spans="1:7" ht="30" customHeight="1">
      <c r="A227" s="6">
        <v>225</v>
      </c>
      <c r="B227" s="6" t="str">
        <f>"3921202205120942077359"</f>
        <v>3921202205120942077359</v>
      </c>
      <c r="C227" s="6" t="s">
        <v>31</v>
      </c>
      <c r="D227" s="6" t="str">
        <f>"陈谢"</f>
        <v>陈谢</v>
      </c>
      <c r="E227" s="6" t="str">
        <f t="shared" si="7"/>
        <v>女</v>
      </c>
      <c r="F227" s="6" t="str">
        <f>"1998-08-02"</f>
        <v>1998-08-02</v>
      </c>
      <c r="G227" s="6"/>
    </row>
    <row r="228" spans="1:7" ht="30" customHeight="1">
      <c r="A228" s="6">
        <v>226</v>
      </c>
      <c r="B228" s="6" t="str">
        <f>"3921202205120948047387"</f>
        <v>3921202205120948047387</v>
      </c>
      <c r="C228" s="6" t="s">
        <v>31</v>
      </c>
      <c r="D228" s="6" t="str">
        <f>"黎雪怡"</f>
        <v>黎雪怡</v>
      </c>
      <c r="E228" s="6" t="str">
        <f t="shared" si="7"/>
        <v>女</v>
      </c>
      <c r="F228" s="6" t="str">
        <f>"1998-12-10"</f>
        <v>1998-12-10</v>
      </c>
      <c r="G228" s="6"/>
    </row>
    <row r="229" spans="1:7" ht="30" customHeight="1">
      <c r="A229" s="6">
        <v>227</v>
      </c>
      <c r="B229" s="6" t="str">
        <f>"3921202205120948307391"</f>
        <v>3921202205120948307391</v>
      </c>
      <c r="C229" s="6" t="s">
        <v>31</v>
      </c>
      <c r="D229" s="6" t="str">
        <f>"陈婧"</f>
        <v>陈婧</v>
      </c>
      <c r="E229" s="6" t="str">
        <f t="shared" si="7"/>
        <v>女</v>
      </c>
      <c r="F229" s="6" t="str">
        <f>"1999-10-05"</f>
        <v>1999-10-05</v>
      </c>
      <c r="G229" s="6"/>
    </row>
    <row r="230" spans="1:7" ht="30" customHeight="1">
      <c r="A230" s="6">
        <v>228</v>
      </c>
      <c r="B230" s="6" t="str">
        <f>"3921202205120951567415"</f>
        <v>3921202205120951567415</v>
      </c>
      <c r="C230" s="6" t="s">
        <v>31</v>
      </c>
      <c r="D230" s="6" t="str">
        <f>"陈春璇"</f>
        <v>陈春璇</v>
      </c>
      <c r="E230" s="6" t="str">
        <f t="shared" si="7"/>
        <v>女</v>
      </c>
      <c r="F230" s="6" t="str">
        <f>"1996-01-27"</f>
        <v>1996-01-27</v>
      </c>
      <c r="G230" s="6"/>
    </row>
    <row r="231" spans="1:7" ht="30" customHeight="1">
      <c r="A231" s="6">
        <v>229</v>
      </c>
      <c r="B231" s="6" t="str">
        <f>"3921202205120957527446"</f>
        <v>3921202205120957527446</v>
      </c>
      <c r="C231" s="6" t="s">
        <v>31</v>
      </c>
      <c r="D231" s="6" t="str">
        <f>"周明辽"</f>
        <v>周明辽</v>
      </c>
      <c r="E231" s="6" t="str">
        <f t="shared" si="7"/>
        <v>女</v>
      </c>
      <c r="F231" s="6" t="str">
        <f>"1999-11-18"</f>
        <v>1999-11-18</v>
      </c>
      <c r="G231" s="6"/>
    </row>
    <row r="232" spans="1:7" ht="30" customHeight="1">
      <c r="A232" s="6">
        <v>230</v>
      </c>
      <c r="B232" s="6" t="str">
        <f>"3921202205121007257486"</f>
        <v>3921202205121007257486</v>
      </c>
      <c r="C232" s="6" t="s">
        <v>31</v>
      </c>
      <c r="D232" s="6" t="str">
        <f>"苏安春"</f>
        <v>苏安春</v>
      </c>
      <c r="E232" s="6" t="str">
        <f t="shared" si="7"/>
        <v>女</v>
      </c>
      <c r="F232" s="6" t="str">
        <f>"1997-07-13"</f>
        <v>1997-07-13</v>
      </c>
      <c r="G232" s="6"/>
    </row>
    <row r="233" spans="1:7" ht="30" customHeight="1">
      <c r="A233" s="6">
        <v>231</v>
      </c>
      <c r="B233" s="6" t="str">
        <f>"3921202205121010077502"</f>
        <v>3921202205121010077502</v>
      </c>
      <c r="C233" s="6" t="s">
        <v>31</v>
      </c>
      <c r="D233" s="6" t="str">
        <f>"陈慧心"</f>
        <v>陈慧心</v>
      </c>
      <c r="E233" s="6" t="str">
        <f t="shared" si="7"/>
        <v>女</v>
      </c>
      <c r="F233" s="6" t="str">
        <f>"2000-12-11"</f>
        <v>2000-12-11</v>
      </c>
      <c r="G233" s="6"/>
    </row>
    <row r="234" spans="1:7" ht="30" customHeight="1">
      <c r="A234" s="6">
        <v>232</v>
      </c>
      <c r="B234" s="6" t="str">
        <f>"3921202205121030457604"</f>
        <v>3921202205121030457604</v>
      </c>
      <c r="C234" s="6" t="s">
        <v>31</v>
      </c>
      <c r="D234" s="6" t="str">
        <f>"苏利东"</f>
        <v>苏利东</v>
      </c>
      <c r="E234" s="6" t="str">
        <f>"男"</f>
        <v>男</v>
      </c>
      <c r="F234" s="6" t="str">
        <f>"1999-11-15"</f>
        <v>1999-11-15</v>
      </c>
      <c r="G234" s="6"/>
    </row>
    <row r="235" spans="1:7" ht="30" customHeight="1">
      <c r="A235" s="6">
        <v>233</v>
      </c>
      <c r="B235" s="6" t="str">
        <f>"3921202205121038067640"</f>
        <v>3921202205121038067640</v>
      </c>
      <c r="C235" s="6" t="s">
        <v>31</v>
      </c>
      <c r="D235" s="6" t="str">
        <f>"邢日茜"</f>
        <v>邢日茜</v>
      </c>
      <c r="E235" s="6" t="str">
        <f aca="true" t="shared" si="8" ref="E235:E298">"女"</f>
        <v>女</v>
      </c>
      <c r="F235" s="6" t="str">
        <f>"1996-07-28"</f>
        <v>1996-07-28</v>
      </c>
      <c r="G235" s="6"/>
    </row>
    <row r="236" spans="1:7" ht="30" customHeight="1">
      <c r="A236" s="6">
        <v>234</v>
      </c>
      <c r="B236" s="6" t="str">
        <f>"3921202205121049087691"</f>
        <v>3921202205121049087691</v>
      </c>
      <c r="C236" s="6" t="s">
        <v>31</v>
      </c>
      <c r="D236" s="6" t="str">
        <f>"范兴旺"</f>
        <v>范兴旺</v>
      </c>
      <c r="E236" s="6" t="str">
        <f t="shared" si="8"/>
        <v>女</v>
      </c>
      <c r="F236" s="6" t="str">
        <f>"2000-05-10"</f>
        <v>2000-05-10</v>
      </c>
      <c r="G236" s="6"/>
    </row>
    <row r="237" spans="1:7" ht="30" customHeight="1">
      <c r="A237" s="6">
        <v>235</v>
      </c>
      <c r="B237" s="6" t="str">
        <f>"3921202205121049537696"</f>
        <v>3921202205121049537696</v>
      </c>
      <c r="C237" s="6" t="s">
        <v>31</v>
      </c>
      <c r="D237" s="6" t="str">
        <f>"林冬梅"</f>
        <v>林冬梅</v>
      </c>
      <c r="E237" s="6" t="str">
        <f t="shared" si="8"/>
        <v>女</v>
      </c>
      <c r="F237" s="6" t="str">
        <f>"1997-03-13"</f>
        <v>1997-03-13</v>
      </c>
      <c r="G237" s="6"/>
    </row>
    <row r="238" spans="1:7" ht="30" customHeight="1">
      <c r="A238" s="6">
        <v>236</v>
      </c>
      <c r="B238" s="6" t="str">
        <f>"3921202205121052127711"</f>
        <v>3921202205121052127711</v>
      </c>
      <c r="C238" s="6" t="s">
        <v>31</v>
      </c>
      <c r="D238" s="6" t="str">
        <f>"陈芳雅"</f>
        <v>陈芳雅</v>
      </c>
      <c r="E238" s="6" t="str">
        <f t="shared" si="8"/>
        <v>女</v>
      </c>
      <c r="F238" s="6" t="str">
        <f>"1999-10-11"</f>
        <v>1999-10-11</v>
      </c>
      <c r="G238" s="6"/>
    </row>
    <row r="239" spans="1:7" ht="30" customHeight="1">
      <c r="A239" s="6">
        <v>237</v>
      </c>
      <c r="B239" s="6" t="str">
        <f>"3921202205121114227795"</f>
        <v>3921202205121114227795</v>
      </c>
      <c r="C239" s="6" t="s">
        <v>31</v>
      </c>
      <c r="D239" s="6" t="str">
        <f>"陈珍"</f>
        <v>陈珍</v>
      </c>
      <c r="E239" s="6" t="str">
        <f t="shared" si="8"/>
        <v>女</v>
      </c>
      <c r="F239" s="6" t="str">
        <f>"2002-11-30"</f>
        <v>2002-11-30</v>
      </c>
      <c r="G239" s="6"/>
    </row>
    <row r="240" spans="1:7" ht="30" customHeight="1">
      <c r="A240" s="6">
        <v>238</v>
      </c>
      <c r="B240" s="6" t="str">
        <f>"3921202205121129557845"</f>
        <v>3921202205121129557845</v>
      </c>
      <c r="C240" s="6" t="s">
        <v>31</v>
      </c>
      <c r="D240" s="6" t="str">
        <f>"邢增纯"</f>
        <v>邢增纯</v>
      </c>
      <c r="E240" s="6" t="str">
        <f t="shared" si="8"/>
        <v>女</v>
      </c>
      <c r="F240" s="6" t="str">
        <f>"1998-06-01"</f>
        <v>1998-06-01</v>
      </c>
      <c r="G240" s="6"/>
    </row>
    <row r="241" spans="1:7" ht="30" customHeight="1">
      <c r="A241" s="6">
        <v>239</v>
      </c>
      <c r="B241" s="6" t="str">
        <f>"3921202205121147217896"</f>
        <v>3921202205121147217896</v>
      </c>
      <c r="C241" s="6" t="s">
        <v>31</v>
      </c>
      <c r="D241" s="6" t="str">
        <f>"叶文春"</f>
        <v>叶文春</v>
      </c>
      <c r="E241" s="6" t="str">
        <f t="shared" si="8"/>
        <v>女</v>
      </c>
      <c r="F241" s="6" t="str">
        <f>"1999-05-24"</f>
        <v>1999-05-24</v>
      </c>
      <c r="G241" s="6"/>
    </row>
    <row r="242" spans="1:7" ht="30" customHeight="1">
      <c r="A242" s="6">
        <v>240</v>
      </c>
      <c r="B242" s="6" t="str">
        <f>"3921202205121157337916"</f>
        <v>3921202205121157337916</v>
      </c>
      <c r="C242" s="6" t="s">
        <v>31</v>
      </c>
      <c r="D242" s="6" t="str">
        <f>"张莹"</f>
        <v>张莹</v>
      </c>
      <c r="E242" s="6" t="str">
        <f t="shared" si="8"/>
        <v>女</v>
      </c>
      <c r="F242" s="6" t="str">
        <f>"1999-06-09"</f>
        <v>1999-06-09</v>
      </c>
      <c r="G242" s="6"/>
    </row>
    <row r="243" spans="1:7" ht="30" customHeight="1">
      <c r="A243" s="6">
        <v>241</v>
      </c>
      <c r="B243" s="6" t="str">
        <f>"3921202205121204227927"</f>
        <v>3921202205121204227927</v>
      </c>
      <c r="C243" s="6" t="s">
        <v>31</v>
      </c>
      <c r="D243" s="6" t="str">
        <f>"李道妹"</f>
        <v>李道妹</v>
      </c>
      <c r="E243" s="6" t="str">
        <f t="shared" si="8"/>
        <v>女</v>
      </c>
      <c r="F243" s="6" t="str">
        <f>"1999-06-14"</f>
        <v>1999-06-14</v>
      </c>
      <c r="G243" s="6"/>
    </row>
    <row r="244" spans="1:7" ht="30" customHeight="1">
      <c r="A244" s="6">
        <v>242</v>
      </c>
      <c r="B244" s="6" t="str">
        <f>"3921202205121211507953"</f>
        <v>3921202205121211507953</v>
      </c>
      <c r="C244" s="6" t="s">
        <v>31</v>
      </c>
      <c r="D244" s="6" t="str">
        <f>"容海丹"</f>
        <v>容海丹</v>
      </c>
      <c r="E244" s="6" t="str">
        <f t="shared" si="8"/>
        <v>女</v>
      </c>
      <c r="F244" s="6" t="str">
        <f>"2000-04-15"</f>
        <v>2000-04-15</v>
      </c>
      <c r="G244" s="6"/>
    </row>
    <row r="245" spans="1:7" ht="30" customHeight="1">
      <c r="A245" s="6">
        <v>243</v>
      </c>
      <c r="B245" s="6" t="str">
        <f>"3921202205121247318033"</f>
        <v>3921202205121247318033</v>
      </c>
      <c r="C245" s="6" t="s">
        <v>31</v>
      </c>
      <c r="D245" s="6" t="str">
        <f>"李伟桃"</f>
        <v>李伟桃</v>
      </c>
      <c r="E245" s="6" t="str">
        <f t="shared" si="8"/>
        <v>女</v>
      </c>
      <c r="F245" s="6" t="str">
        <f>"1996-12-18"</f>
        <v>1996-12-18</v>
      </c>
      <c r="G245" s="6"/>
    </row>
    <row r="246" spans="1:7" ht="30" customHeight="1">
      <c r="A246" s="6">
        <v>244</v>
      </c>
      <c r="B246" s="6" t="str">
        <f>"3921202205121305558067"</f>
        <v>3921202205121305558067</v>
      </c>
      <c r="C246" s="6" t="s">
        <v>31</v>
      </c>
      <c r="D246" s="6" t="str">
        <f>"彭蕊月"</f>
        <v>彭蕊月</v>
      </c>
      <c r="E246" s="6" t="str">
        <f t="shared" si="8"/>
        <v>女</v>
      </c>
      <c r="F246" s="6" t="str">
        <f>"1998-10-06"</f>
        <v>1998-10-06</v>
      </c>
      <c r="G246" s="6"/>
    </row>
    <row r="247" spans="1:7" ht="30" customHeight="1">
      <c r="A247" s="6">
        <v>245</v>
      </c>
      <c r="B247" s="6" t="str">
        <f>"3921202205121307598069"</f>
        <v>3921202205121307598069</v>
      </c>
      <c r="C247" s="6" t="s">
        <v>31</v>
      </c>
      <c r="D247" s="6" t="str">
        <f>"吴清妃"</f>
        <v>吴清妃</v>
      </c>
      <c r="E247" s="6" t="str">
        <f t="shared" si="8"/>
        <v>女</v>
      </c>
      <c r="F247" s="6" t="str">
        <f>"1995-10-16"</f>
        <v>1995-10-16</v>
      </c>
      <c r="G247" s="6"/>
    </row>
    <row r="248" spans="1:7" ht="30" customHeight="1">
      <c r="A248" s="6">
        <v>246</v>
      </c>
      <c r="B248" s="6" t="str">
        <f>"3921202205121309518076"</f>
        <v>3921202205121309518076</v>
      </c>
      <c r="C248" s="6" t="s">
        <v>31</v>
      </c>
      <c r="D248" s="6" t="str">
        <f>"黄燕婷"</f>
        <v>黄燕婷</v>
      </c>
      <c r="E248" s="6" t="str">
        <f t="shared" si="8"/>
        <v>女</v>
      </c>
      <c r="F248" s="6" t="str">
        <f>"1999-03-18"</f>
        <v>1999-03-18</v>
      </c>
      <c r="G248" s="6"/>
    </row>
    <row r="249" spans="1:7" ht="30" customHeight="1">
      <c r="A249" s="6">
        <v>247</v>
      </c>
      <c r="B249" s="6" t="str">
        <f>"3921202205121317028088"</f>
        <v>3921202205121317028088</v>
      </c>
      <c r="C249" s="6" t="s">
        <v>31</v>
      </c>
      <c r="D249" s="6" t="str">
        <f>"符小丽"</f>
        <v>符小丽</v>
      </c>
      <c r="E249" s="6" t="str">
        <f t="shared" si="8"/>
        <v>女</v>
      </c>
      <c r="F249" s="6" t="str">
        <f>"1999-01-28"</f>
        <v>1999-01-28</v>
      </c>
      <c r="G249" s="6"/>
    </row>
    <row r="250" spans="1:7" ht="30" customHeight="1">
      <c r="A250" s="6">
        <v>248</v>
      </c>
      <c r="B250" s="6" t="str">
        <f>"3921202205121322138095"</f>
        <v>3921202205121322138095</v>
      </c>
      <c r="C250" s="6" t="s">
        <v>31</v>
      </c>
      <c r="D250" s="6" t="str">
        <f>"林露露"</f>
        <v>林露露</v>
      </c>
      <c r="E250" s="6" t="str">
        <f t="shared" si="8"/>
        <v>女</v>
      </c>
      <c r="F250" s="6" t="str">
        <f>"2001-10-22"</f>
        <v>2001-10-22</v>
      </c>
      <c r="G250" s="6"/>
    </row>
    <row r="251" spans="1:7" ht="30" customHeight="1">
      <c r="A251" s="6">
        <v>249</v>
      </c>
      <c r="B251" s="6" t="str">
        <f>"3921202205121340028125"</f>
        <v>3921202205121340028125</v>
      </c>
      <c r="C251" s="6" t="s">
        <v>31</v>
      </c>
      <c r="D251" s="6" t="str">
        <f>"邢增敏"</f>
        <v>邢增敏</v>
      </c>
      <c r="E251" s="6" t="str">
        <f t="shared" si="8"/>
        <v>女</v>
      </c>
      <c r="F251" s="6" t="str">
        <f>"2000-04-06"</f>
        <v>2000-04-06</v>
      </c>
      <c r="G251" s="6"/>
    </row>
    <row r="252" spans="1:7" ht="30" customHeight="1">
      <c r="A252" s="6">
        <v>250</v>
      </c>
      <c r="B252" s="6" t="str">
        <f>"3921202205121402508159"</f>
        <v>3921202205121402508159</v>
      </c>
      <c r="C252" s="6" t="s">
        <v>31</v>
      </c>
      <c r="D252" s="6" t="str">
        <f>"薛梅子"</f>
        <v>薛梅子</v>
      </c>
      <c r="E252" s="6" t="str">
        <f t="shared" si="8"/>
        <v>女</v>
      </c>
      <c r="F252" s="6" t="str">
        <f>"1994-01-08"</f>
        <v>1994-01-08</v>
      </c>
      <c r="G252" s="6"/>
    </row>
    <row r="253" spans="1:7" ht="30" customHeight="1">
      <c r="A253" s="6">
        <v>251</v>
      </c>
      <c r="B253" s="6" t="str">
        <f>"3921202205121412538186"</f>
        <v>3921202205121412538186</v>
      </c>
      <c r="C253" s="6" t="s">
        <v>31</v>
      </c>
      <c r="D253" s="6" t="str">
        <f>"杨静"</f>
        <v>杨静</v>
      </c>
      <c r="E253" s="6" t="str">
        <f t="shared" si="8"/>
        <v>女</v>
      </c>
      <c r="F253" s="6" t="str">
        <f>"1999-06-18"</f>
        <v>1999-06-18</v>
      </c>
      <c r="G253" s="6"/>
    </row>
    <row r="254" spans="1:7" ht="30" customHeight="1">
      <c r="A254" s="6">
        <v>252</v>
      </c>
      <c r="B254" s="6" t="str">
        <f>"3921202205121419468196"</f>
        <v>3921202205121419468196</v>
      </c>
      <c r="C254" s="6" t="s">
        <v>31</v>
      </c>
      <c r="D254" s="6" t="str">
        <f>"李意"</f>
        <v>李意</v>
      </c>
      <c r="E254" s="6" t="str">
        <f t="shared" si="8"/>
        <v>女</v>
      </c>
      <c r="F254" s="6" t="str">
        <f>"1997-03-15"</f>
        <v>1997-03-15</v>
      </c>
      <c r="G254" s="6"/>
    </row>
    <row r="255" spans="1:7" ht="30" customHeight="1">
      <c r="A255" s="6">
        <v>253</v>
      </c>
      <c r="B255" s="6" t="str">
        <f>"3921202205121420108198"</f>
        <v>3921202205121420108198</v>
      </c>
      <c r="C255" s="6" t="s">
        <v>31</v>
      </c>
      <c r="D255" s="6" t="str">
        <f>"颜渊丹"</f>
        <v>颜渊丹</v>
      </c>
      <c r="E255" s="6" t="str">
        <f t="shared" si="8"/>
        <v>女</v>
      </c>
      <c r="F255" s="6" t="str">
        <f>"2000-08-15"</f>
        <v>2000-08-15</v>
      </c>
      <c r="G255" s="6"/>
    </row>
    <row r="256" spans="1:7" ht="30" customHeight="1">
      <c r="A256" s="6">
        <v>254</v>
      </c>
      <c r="B256" s="6" t="str">
        <f>"3921202205121430248214"</f>
        <v>3921202205121430248214</v>
      </c>
      <c r="C256" s="6" t="s">
        <v>31</v>
      </c>
      <c r="D256" s="6" t="str">
        <f>"吴为美"</f>
        <v>吴为美</v>
      </c>
      <c r="E256" s="6" t="str">
        <f t="shared" si="8"/>
        <v>女</v>
      </c>
      <c r="F256" s="6" t="str">
        <f>"1998-03-12"</f>
        <v>1998-03-12</v>
      </c>
      <c r="G256" s="6"/>
    </row>
    <row r="257" spans="1:7" ht="30" customHeight="1">
      <c r="A257" s="6">
        <v>255</v>
      </c>
      <c r="B257" s="6" t="str">
        <f>"3921202205121440318228"</f>
        <v>3921202205121440318228</v>
      </c>
      <c r="C257" s="6" t="s">
        <v>31</v>
      </c>
      <c r="D257" s="6" t="str">
        <f>"朱美玉"</f>
        <v>朱美玉</v>
      </c>
      <c r="E257" s="6" t="str">
        <f t="shared" si="8"/>
        <v>女</v>
      </c>
      <c r="F257" s="6" t="str">
        <f>"2000-01-14"</f>
        <v>2000-01-14</v>
      </c>
      <c r="G257" s="6"/>
    </row>
    <row r="258" spans="1:7" ht="30" customHeight="1">
      <c r="A258" s="6">
        <v>256</v>
      </c>
      <c r="B258" s="6" t="str">
        <f>"3921202205121449488245"</f>
        <v>3921202205121449488245</v>
      </c>
      <c r="C258" s="6" t="s">
        <v>31</v>
      </c>
      <c r="D258" s="6" t="str">
        <f>"谢重香"</f>
        <v>谢重香</v>
      </c>
      <c r="E258" s="6" t="str">
        <f t="shared" si="8"/>
        <v>女</v>
      </c>
      <c r="F258" s="6" t="str">
        <f>"1995-09-09"</f>
        <v>1995-09-09</v>
      </c>
      <c r="G258" s="6"/>
    </row>
    <row r="259" spans="1:7" ht="30" customHeight="1">
      <c r="A259" s="6">
        <v>257</v>
      </c>
      <c r="B259" s="6" t="str">
        <f>"3921202205121450518251"</f>
        <v>3921202205121450518251</v>
      </c>
      <c r="C259" s="6" t="s">
        <v>31</v>
      </c>
      <c r="D259" s="6" t="str">
        <f>"林菲"</f>
        <v>林菲</v>
      </c>
      <c r="E259" s="6" t="str">
        <f t="shared" si="8"/>
        <v>女</v>
      </c>
      <c r="F259" s="6" t="str">
        <f>"1994-02-06"</f>
        <v>1994-02-06</v>
      </c>
      <c r="G259" s="6"/>
    </row>
    <row r="260" spans="1:7" ht="30" customHeight="1">
      <c r="A260" s="6">
        <v>258</v>
      </c>
      <c r="B260" s="6" t="str">
        <f>"3921202205121503258280"</f>
        <v>3921202205121503258280</v>
      </c>
      <c r="C260" s="6" t="s">
        <v>31</v>
      </c>
      <c r="D260" s="6" t="str">
        <f>"王婵茜"</f>
        <v>王婵茜</v>
      </c>
      <c r="E260" s="6" t="str">
        <f t="shared" si="8"/>
        <v>女</v>
      </c>
      <c r="F260" s="6" t="str">
        <f>"1999-12-03"</f>
        <v>1999-12-03</v>
      </c>
      <c r="G260" s="6"/>
    </row>
    <row r="261" spans="1:7" ht="30" customHeight="1">
      <c r="A261" s="6">
        <v>259</v>
      </c>
      <c r="B261" s="6" t="str">
        <f>"3921202205121518048309"</f>
        <v>3921202205121518048309</v>
      </c>
      <c r="C261" s="6" t="s">
        <v>31</v>
      </c>
      <c r="D261" s="6" t="str">
        <f>"陈香冰"</f>
        <v>陈香冰</v>
      </c>
      <c r="E261" s="6" t="str">
        <f t="shared" si="8"/>
        <v>女</v>
      </c>
      <c r="F261" s="6" t="str">
        <f>"1998-05-25"</f>
        <v>1998-05-25</v>
      </c>
      <c r="G261" s="6"/>
    </row>
    <row r="262" spans="1:7" ht="30" customHeight="1">
      <c r="A262" s="6">
        <v>260</v>
      </c>
      <c r="B262" s="6" t="str">
        <f>"3921202205121524598335"</f>
        <v>3921202205121524598335</v>
      </c>
      <c r="C262" s="6" t="s">
        <v>31</v>
      </c>
      <c r="D262" s="6" t="str">
        <f>"万娟霞"</f>
        <v>万娟霞</v>
      </c>
      <c r="E262" s="6" t="str">
        <f t="shared" si="8"/>
        <v>女</v>
      </c>
      <c r="F262" s="6" t="str">
        <f>"1997-10-02"</f>
        <v>1997-10-02</v>
      </c>
      <c r="G262" s="6"/>
    </row>
    <row r="263" spans="1:7" ht="30" customHeight="1">
      <c r="A263" s="6">
        <v>261</v>
      </c>
      <c r="B263" s="6" t="str">
        <f>"3921202205121534568366"</f>
        <v>3921202205121534568366</v>
      </c>
      <c r="C263" s="6" t="s">
        <v>31</v>
      </c>
      <c r="D263" s="6" t="str">
        <f>"陈苗"</f>
        <v>陈苗</v>
      </c>
      <c r="E263" s="6" t="str">
        <f t="shared" si="8"/>
        <v>女</v>
      </c>
      <c r="F263" s="6" t="str">
        <f>"1999-02-05"</f>
        <v>1999-02-05</v>
      </c>
      <c r="G263" s="6"/>
    </row>
    <row r="264" spans="1:7" ht="30" customHeight="1">
      <c r="A264" s="6">
        <v>262</v>
      </c>
      <c r="B264" s="6" t="str">
        <f>"3921202205121535288370"</f>
        <v>3921202205121535288370</v>
      </c>
      <c r="C264" s="6" t="s">
        <v>31</v>
      </c>
      <c r="D264" s="6" t="str">
        <f>"郑家燕"</f>
        <v>郑家燕</v>
      </c>
      <c r="E264" s="6" t="str">
        <f t="shared" si="8"/>
        <v>女</v>
      </c>
      <c r="F264" s="6" t="str">
        <f>"1995-06-21"</f>
        <v>1995-06-21</v>
      </c>
      <c r="G264" s="6"/>
    </row>
    <row r="265" spans="1:7" ht="30" customHeight="1">
      <c r="A265" s="6">
        <v>263</v>
      </c>
      <c r="B265" s="6" t="str">
        <f>"3921202205121620138491"</f>
        <v>3921202205121620138491</v>
      </c>
      <c r="C265" s="6" t="s">
        <v>31</v>
      </c>
      <c r="D265" s="6" t="str">
        <f>"陈玉连"</f>
        <v>陈玉连</v>
      </c>
      <c r="E265" s="6" t="str">
        <f t="shared" si="8"/>
        <v>女</v>
      </c>
      <c r="F265" s="6" t="str">
        <f>"1997-07-01"</f>
        <v>1997-07-01</v>
      </c>
      <c r="G265" s="6"/>
    </row>
    <row r="266" spans="1:7" ht="30" customHeight="1">
      <c r="A266" s="6">
        <v>264</v>
      </c>
      <c r="B266" s="6" t="str">
        <f>"3921202205121630018513"</f>
        <v>3921202205121630018513</v>
      </c>
      <c r="C266" s="6" t="s">
        <v>31</v>
      </c>
      <c r="D266" s="6" t="str">
        <f>"苏娟"</f>
        <v>苏娟</v>
      </c>
      <c r="E266" s="6" t="str">
        <f t="shared" si="8"/>
        <v>女</v>
      </c>
      <c r="F266" s="6" t="str">
        <f>"1995-03-25"</f>
        <v>1995-03-25</v>
      </c>
      <c r="G266" s="6"/>
    </row>
    <row r="267" spans="1:7" ht="30" customHeight="1">
      <c r="A267" s="6">
        <v>265</v>
      </c>
      <c r="B267" s="6" t="str">
        <f>"3921202205121644368544"</f>
        <v>3921202205121644368544</v>
      </c>
      <c r="C267" s="6" t="s">
        <v>31</v>
      </c>
      <c r="D267" s="6" t="str">
        <f>"麦领"</f>
        <v>麦领</v>
      </c>
      <c r="E267" s="6" t="str">
        <f t="shared" si="8"/>
        <v>女</v>
      </c>
      <c r="F267" s="6" t="str">
        <f>"1999-12-08"</f>
        <v>1999-12-08</v>
      </c>
      <c r="G267" s="6"/>
    </row>
    <row r="268" spans="1:7" ht="30" customHeight="1">
      <c r="A268" s="6">
        <v>266</v>
      </c>
      <c r="B268" s="6" t="str">
        <f>"3921202205121644398545"</f>
        <v>3921202205121644398545</v>
      </c>
      <c r="C268" s="6" t="s">
        <v>31</v>
      </c>
      <c r="D268" s="6" t="str">
        <f>"陈云丽"</f>
        <v>陈云丽</v>
      </c>
      <c r="E268" s="6" t="str">
        <f t="shared" si="8"/>
        <v>女</v>
      </c>
      <c r="F268" s="6" t="str">
        <f>"1997-02-11"</f>
        <v>1997-02-11</v>
      </c>
      <c r="G268" s="6"/>
    </row>
    <row r="269" spans="1:7" ht="30" customHeight="1">
      <c r="A269" s="6">
        <v>267</v>
      </c>
      <c r="B269" s="6" t="str">
        <f>"3921202205121659408581"</f>
        <v>3921202205121659408581</v>
      </c>
      <c r="C269" s="6" t="s">
        <v>31</v>
      </c>
      <c r="D269" s="6" t="str">
        <f>"林蝶"</f>
        <v>林蝶</v>
      </c>
      <c r="E269" s="6" t="str">
        <f t="shared" si="8"/>
        <v>女</v>
      </c>
      <c r="F269" s="6" t="str">
        <f>"1997-08-22"</f>
        <v>1997-08-22</v>
      </c>
      <c r="G269" s="6"/>
    </row>
    <row r="270" spans="1:7" ht="30" customHeight="1">
      <c r="A270" s="6">
        <v>268</v>
      </c>
      <c r="B270" s="6" t="str">
        <f>"3921202205121727218638"</f>
        <v>3921202205121727218638</v>
      </c>
      <c r="C270" s="6" t="s">
        <v>31</v>
      </c>
      <c r="D270" s="6" t="str">
        <f>"何芳"</f>
        <v>何芳</v>
      </c>
      <c r="E270" s="6" t="str">
        <f t="shared" si="8"/>
        <v>女</v>
      </c>
      <c r="F270" s="6" t="str">
        <f>"1997-03-23"</f>
        <v>1997-03-23</v>
      </c>
      <c r="G270" s="6"/>
    </row>
    <row r="271" spans="1:7" ht="30" customHeight="1">
      <c r="A271" s="6">
        <v>269</v>
      </c>
      <c r="B271" s="6" t="str">
        <f>"3921202205121730488644"</f>
        <v>3921202205121730488644</v>
      </c>
      <c r="C271" s="6" t="s">
        <v>31</v>
      </c>
      <c r="D271" s="6" t="str">
        <f>"林菲"</f>
        <v>林菲</v>
      </c>
      <c r="E271" s="6" t="str">
        <f t="shared" si="8"/>
        <v>女</v>
      </c>
      <c r="F271" s="6" t="str">
        <f>"1996-07-09"</f>
        <v>1996-07-09</v>
      </c>
      <c r="G271" s="6"/>
    </row>
    <row r="272" spans="1:7" ht="30" customHeight="1">
      <c r="A272" s="6">
        <v>270</v>
      </c>
      <c r="B272" s="6" t="str">
        <f>"3921202205121734038648"</f>
        <v>3921202205121734038648</v>
      </c>
      <c r="C272" s="6" t="s">
        <v>31</v>
      </c>
      <c r="D272" s="6" t="str">
        <f>"陈芸"</f>
        <v>陈芸</v>
      </c>
      <c r="E272" s="6" t="str">
        <f t="shared" si="8"/>
        <v>女</v>
      </c>
      <c r="F272" s="6" t="str">
        <f>"1999-01-09"</f>
        <v>1999-01-09</v>
      </c>
      <c r="G272" s="6"/>
    </row>
    <row r="273" spans="1:7" ht="30" customHeight="1">
      <c r="A273" s="6">
        <v>271</v>
      </c>
      <c r="B273" s="6" t="str">
        <f>"3921202205121806258703"</f>
        <v>3921202205121806258703</v>
      </c>
      <c r="C273" s="6" t="s">
        <v>31</v>
      </c>
      <c r="D273" s="6" t="str">
        <f>"郑妹"</f>
        <v>郑妹</v>
      </c>
      <c r="E273" s="6" t="str">
        <f t="shared" si="8"/>
        <v>女</v>
      </c>
      <c r="F273" s="6" t="str">
        <f>"1998-08-27"</f>
        <v>1998-08-27</v>
      </c>
      <c r="G273" s="6"/>
    </row>
    <row r="274" spans="1:7" ht="30" customHeight="1">
      <c r="A274" s="6">
        <v>272</v>
      </c>
      <c r="B274" s="6" t="str">
        <f>"3921202205121808158706"</f>
        <v>3921202205121808158706</v>
      </c>
      <c r="C274" s="6" t="s">
        <v>31</v>
      </c>
      <c r="D274" s="6" t="str">
        <f>"蔡小鲜"</f>
        <v>蔡小鲜</v>
      </c>
      <c r="E274" s="6" t="str">
        <f t="shared" si="8"/>
        <v>女</v>
      </c>
      <c r="F274" s="6" t="str">
        <f>"2001-08-24"</f>
        <v>2001-08-24</v>
      </c>
      <c r="G274" s="6"/>
    </row>
    <row r="275" spans="1:7" ht="30" customHeight="1">
      <c r="A275" s="6">
        <v>273</v>
      </c>
      <c r="B275" s="6" t="str">
        <f>"3921202205121817358717"</f>
        <v>3921202205121817358717</v>
      </c>
      <c r="C275" s="6" t="s">
        <v>31</v>
      </c>
      <c r="D275" s="6" t="str">
        <f>"张小柔"</f>
        <v>张小柔</v>
      </c>
      <c r="E275" s="6" t="str">
        <f t="shared" si="8"/>
        <v>女</v>
      </c>
      <c r="F275" s="6" t="str">
        <f>"1999-02-02"</f>
        <v>1999-02-02</v>
      </c>
      <c r="G275" s="6"/>
    </row>
    <row r="276" spans="1:7" ht="30" customHeight="1">
      <c r="A276" s="6">
        <v>274</v>
      </c>
      <c r="B276" s="6" t="str">
        <f>"3921202205121904588779"</f>
        <v>3921202205121904588779</v>
      </c>
      <c r="C276" s="6" t="s">
        <v>31</v>
      </c>
      <c r="D276" s="6" t="str">
        <f>"邵丽"</f>
        <v>邵丽</v>
      </c>
      <c r="E276" s="6" t="str">
        <f t="shared" si="8"/>
        <v>女</v>
      </c>
      <c r="F276" s="6" t="str">
        <f>"1995-04-15"</f>
        <v>1995-04-15</v>
      </c>
      <c r="G276" s="6"/>
    </row>
    <row r="277" spans="1:7" ht="30" customHeight="1">
      <c r="A277" s="6">
        <v>275</v>
      </c>
      <c r="B277" s="6" t="str">
        <f>"3921202205122009028885"</f>
        <v>3921202205122009028885</v>
      </c>
      <c r="C277" s="6" t="s">
        <v>31</v>
      </c>
      <c r="D277" s="6" t="str">
        <f>"黄垂慧"</f>
        <v>黄垂慧</v>
      </c>
      <c r="E277" s="6" t="str">
        <f t="shared" si="8"/>
        <v>女</v>
      </c>
      <c r="F277" s="6" t="str">
        <f>"1994-08-13"</f>
        <v>1994-08-13</v>
      </c>
      <c r="G277" s="6"/>
    </row>
    <row r="278" spans="1:7" ht="30" customHeight="1">
      <c r="A278" s="6">
        <v>276</v>
      </c>
      <c r="B278" s="6" t="str">
        <f>"3921202205122057038987"</f>
        <v>3921202205122057038987</v>
      </c>
      <c r="C278" s="6" t="s">
        <v>31</v>
      </c>
      <c r="D278" s="6" t="str">
        <f>"高芳果"</f>
        <v>高芳果</v>
      </c>
      <c r="E278" s="6" t="str">
        <f t="shared" si="8"/>
        <v>女</v>
      </c>
      <c r="F278" s="6" t="str">
        <f>"1997-10-11"</f>
        <v>1997-10-11</v>
      </c>
      <c r="G278" s="6"/>
    </row>
    <row r="279" spans="1:7" ht="30" customHeight="1">
      <c r="A279" s="6">
        <v>277</v>
      </c>
      <c r="B279" s="6" t="str">
        <f>"3921202205122104119007"</f>
        <v>3921202205122104119007</v>
      </c>
      <c r="C279" s="6" t="s">
        <v>31</v>
      </c>
      <c r="D279" s="6" t="str">
        <f>"洪仙凤"</f>
        <v>洪仙凤</v>
      </c>
      <c r="E279" s="6" t="str">
        <f t="shared" si="8"/>
        <v>女</v>
      </c>
      <c r="F279" s="6" t="str">
        <f>"1997-12-12"</f>
        <v>1997-12-12</v>
      </c>
      <c r="G279" s="6"/>
    </row>
    <row r="280" spans="1:7" ht="30" customHeight="1">
      <c r="A280" s="6">
        <v>278</v>
      </c>
      <c r="B280" s="6" t="str">
        <f>"3921202205122107539017"</f>
        <v>3921202205122107539017</v>
      </c>
      <c r="C280" s="6" t="s">
        <v>31</v>
      </c>
      <c r="D280" s="6" t="str">
        <f>"林明苑"</f>
        <v>林明苑</v>
      </c>
      <c r="E280" s="6" t="str">
        <f t="shared" si="8"/>
        <v>女</v>
      </c>
      <c r="F280" s="6" t="str">
        <f>"1997-10-18"</f>
        <v>1997-10-18</v>
      </c>
      <c r="G280" s="6"/>
    </row>
    <row r="281" spans="1:7" ht="30" customHeight="1">
      <c r="A281" s="6">
        <v>279</v>
      </c>
      <c r="B281" s="6" t="str">
        <f>"3921202205122122159043"</f>
        <v>3921202205122122159043</v>
      </c>
      <c r="C281" s="6" t="s">
        <v>31</v>
      </c>
      <c r="D281" s="6" t="str">
        <f>"陈雪芳"</f>
        <v>陈雪芳</v>
      </c>
      <c r="E281" s="6" t="str">
        <f t="shared" si="8"/>
        <v>女</v>
      </c>
      <c r="F281" s="6" t="str">
        <f>"1996-10-08"</f>
        <v>1996-10-08</v>
      </c>
      <c r="G281" s="6"/>
    </row>
    <row r="282" spans="1:7" ht="30" customHeight="1">
      <c r="A282" s="6">
        <v>280</v>
      </c>
      <c r="B282" s="6" t="str">
        <f>"3921202205122127449055"</f>
        <v>3921202205122127449055</v>
      </c>
      <c r="C282" s="6" t="s">
        <v>31</v>
      </c>
      <c r="D282" s="6" t="str">
        <f>"吴伶俐"</f>
        <v>吴伶俐</v>
      </c>
      <c r="E282" s="6" t="str">
        <f t="shared" si="8"/>
        <v>女</v>
      </c>
      <c r="F282" s="6" t="str">
        <f>"1996-01-24"</f>
        <v>1996-01-24</v>
      </c>
      <c r="G282" s="6"/>
    </row>
    <row r="283" spans="1:7" ht="30" customHeight="1">
      <c r="A283" s="6">
        <v>281</v>
      </c>
      <c r="B283" s="6" t="str">
        <f>"3921202205122204099120"</f>
        <v>3921202205122204099120</v>
      </c>
      <c r="C283" s="6" t="s">
        <v>31</v>
      </c>
      <c r="D283" s="6" t="str">
        <f>"简观女"</f>
        <v>简观女</v>
      </c>
      <c r="E283" s="6" t="str">
        <f t="shared" si="8"/>
        <v>女</v>
      </c>
      <c r="F283" s="6" t="str">
        <f>"1998-06-18"</f>
        <v>1998-06-18</v>
      </c>
      <c r="G283" s="6"/>
    </row>
    <row r="284" spans="1:7" ht="30" customHeight="1">
      <c r="A284" s="6">
        <v>282</v>
      </c>
      <c r="B284" s="6" t="str">
        <f>"3921202205122209149128"</f>
        <v>3921202205122209149128</v>
      </c>
      <c r="C284" s="6" t="s">
        <v>31</v>
      </c>
      <c r="D284" s="6" t="str">
        <f>"蔡冬慧"</f>
        <v>蔡冬慧</v>
      </c>
      <c r="E284" s="6" t="str">
        <f t="shared" si="8"/>
        <v>女</v>
      </c>
      <c r="F284" s="6" t="str">
        <f>"1997-10-05"</f>
        <v>1997-10-05</v>
      </c>
      <c r="G284" s="6"/>
    </row>
    <row r="285" spans="1:7" ht="30" customHeight="1">
      <c r="A285" s="6">
        <v>283</v>
      </c>
      <c r="B285" s="6" t="str">
        <f>"3921202205122322109210"</f>
        <v>3921202205122322109210</v>
      </c>
      <c r="C285" s="6" t="s">
        <v>31</v>
      </c>
      <c r="D285" s="6" t="str">
        <f>"陈统娅"</f>
        <v>陈统娅</v>
      </c>
      <c r="E285" s="6" t="str">
        <f t="shared" si="8"/>
        <v>女</v>
      </c>
      <c r="F285" s="6" t="str">
        <f>"1998-04-08"</f>
        <v>1998-04-08</v>
      </c>
      <c r="G285" s="6"/>
    </row>
    <row r="286" spans="1:7" ht="30" customHeight="1">
      <c r="A286" s="6">
        <v>284</v>
      </c>
      <c r="B286" s="6" t="str">
        <f>"3921202205122332349220"</f>
        <v>3921202205122332349220</v>
      </c>
      <c r="C286" s="6" t="s">
        <v>31</v>
      </c>
      <c r="D286" s="6" t="str">
        <f>"林保蜜"</f>
        <v>林保蜜</v>
      </c>
      <c r="E286" s="6" t="str">
        <f t="shared" si="8"/>
        <v>女</v>
      </c>
      <c r="F286" s="6" t="str">
        <f>"1995-04-16"</f>
        <v>1995-04-16</v>
      </c>
      <c r="G286" s="6"/>
    </row>
    <row r="287" spans="1:7" ht="30" customHeight="1">
      <c r="A287" s="6">
        <v>285</v>
      </c>
      <c r="B287" s="6" t="str">
        <f>"3921202205130007179237"</f>
        <v>3921202205130007179237</v>
      </c>
      <c r="C287" s="6" t="s">
        <v>31</v>
      </c>
      <c r="D287" s="6" t="str">
        <f>"罗盛玲"</f>
        <v>罗盛玲</v>
      </c>
      <c r="E287" s="6" t="str">
        <f t="shared" si="8"/>
        <v>女</v>
      </c>
      <c r="F287" s="6" t="str">
        <f>"1994-05-02"</f>
        <v>1994-05-02</v>
      </c>
      <c r="G287" s="6"/>
    </row>
    <row r="288" spans="1:7" ht="30" customHeight="1">
      <c r="A288" s="6">
        <v>286</v>
      </c>
      <c r="B288" s="6" t="str">
        <f>"3921202205130031179240"</f>
        <v>3921202205130031179240</v>
      </c>
      <c r="C288" s="6" t="s">
        <v>31</v>
      </c>
      <c r="D288" s="6" t="str">
        <f>"周小花"</f>
        <v>周小花</v>
      </c>
      <c r="E288" s="6" t="str">
        <f t="shared" si="8"/>
        <v>女</v>
      </c>
      <c r="F288" s="6" t="str">
        <f>"1997-03-12"</f>
        <v>1997-03-12</v>
      </c>
      <c r="G288" s="6"/>
    </row>
    <row r="289" spans="1:7" ht="30" customHeight="1">
      <c r="A289" s="6">
        <v>287</v>
      </c>
      <c r="B289" s="6" t="str">
        <f>"3921202205130145039247"</f>
        <v>3921202205130145039247</v>
      </c>
      <c r="C289" s="6" t="s">
        <v>31</v>
      </c>
      <c r="D289" s="6" t="str">
        <f>"孙倩倩"</f>
        <v>孙倩倩</v>
      </c>
      <c r="E289" s="6" t="str">
        <f t="shared" si="8"/>
        <v>女</v>
      </c>
      <c r="F289" s="6" t="str">
        <f>"1998-06-08"</f>
        <v>1998-06-08</v>
      </c>
      <c r="G289" s="6"/>
    </row>
    <row r="290" spans="1:7" ht="30" customHeight="1">
      <c r="A290" s="6">
        <v>288</v>
      </c>
      <c r="B290" s="6" t="str">
        <f>"3921202205130810489274"</f>
        <v>3921202205130810489274</v>
      </c>
      <c r="C290" s="6" t="s">
        <v>31</v>
      </c>
      <c r="D290" s="6" t="str">
        <f>"容国玲"</f>
        <v>容国玲</v>
      </c>
      <c r="E290" s="6" t="str">
        <f t="shared" si="8"/>
        <v>女</v>
      </c>
      <c r="F290" s="6" t="str">
        <f>"1996-06-17"</f>
        <v>1996-06-17</v>
      </c>
      <c r="G290" s="6"/>
    </row>
    <row r="291" spans="1:7" ht="30" customHeight="1">
      <c r="A291" s="6">
        <v>289</v>
      </c>
      <c r="B291" s="6" t="str">
        <f>"3921202205130837529296"</f>
        <v>3921202205130837529296</v>
      </c>
      <c r="C291" s="6" t="s">
        <v>31</v>
      </c>
      <c r="D291" s="6" t="str">
        <f>"陈带柳"</f>
        <v>陈带柳</v>
      </c>
      <c r="E291" s="6" t="str">
        <f t="shared" si="8"/>
        <v>女</v>
      </c>
      <c r="F291" s="6" t="str">
        <f>"1996-12-04"</f>
        <v>1996-12-04</v>
      </c>
      <c r="G291" s="6"/>
    </row>
    <row r="292" spans="1:7" ht="30" customHeight="1">
      <c r="A292" s="6">
        <v>290</v>
      </c>
      <c r="B292" s="6" t="str">
        <f>"3921202205130921049363"</f>
        <v>3921202205130921049363</v>
      </c>
      <c r="C292" s="6" t="s">
        <v>31</v>
      </c>
      <c r="D292" s="6" t="str">
        <f>"林茗"</f>
        <v>林茗</v>
      </c>
      <c r="E292" s="6" t="str">
        <f t="shared" si="8"/>
        <v>女</v>
      </c>
      <c r="F292" s="6" t="str">
        <f>"2000-11-29"</f>
        <v>2000-11-29</v>
      </c>
      <c r="G292" s="6"/>
    </row>
    <row r="293" spans="1:7" ht="30" customHeight="1">
      <c r="A293" s="6">
        <v>291</v>
      </c>
      <c r="B293" s="6" t="str">
        <f>"3921202205131005369441"</f>
        <v>3921202205131005369441</v>
      </c>
      <c r="C293" s="6" t="s">
        <v>31</v>
      </c>
      <c r="D293" s="6" t="str">
        <f>"吴莎"</f>
        <v>吴莎</v>
      </c>
      <c r="E293" s="6" t="str">
        <f t="shared" si="8"/>
        <v>女</v>
      </c>
      <c r="F293" s="6" t="str">
        <f>"1999-10-14"</f>
        <v>1999-10-14</v>
      </c>
      <c r="G293" s="6"/>
    </row>
    <row r="294" spans="1:7" ht="30" customHeight="1">
      <c r="A294" s="6">
        <v>292</v>
      </c>
      <c r="B294" s="6" t="str">
        <f>"3921202205131015419461"</f>
        <v>3921202205131015419461</v>
      </c>
      <c r="C294" s="6" t="s">
        <v>31</v>
      </c>
      <c r="D294" s="6" t="str">
        <f>"董俊洁"</f>
        <v>董俊洁</v>
      </c>
      <c r="E294" s="6" t="str">
        <f t="shared" si="8"/>
        <v>女</v>
      </c>
      <c r="F294" s="6" t="str">
        <f>"1999-03-21"</f>
        <v>1999-03-21</v>
      </c>
      <c r="G294" s="6"/>
    </row>
    <row r="295" spans="1:7" ht="30" customHeight="1">
      <c r="A295" s="6">
        <v>293</v>
      </c>
      <c r="B295" s="6" t="str">
        <f>"3921202205131040459499"</f>
        <v>3921202205131040459499</v>
      </c>
      <c r="C295" s="6" t="s">
        <v>31</v>
      </c>
      <c r="D295" s="6" t="str">
        <f>"唐甸萍"</f>
        <v>唐甸萍</v>
      </c>
      <c r="E295" s="6" t="str">
        <f t="shared" si="8"/>
        <v>女</v>
      </c>
      <c r="F295" s="6" t="str">
        <f>"1997-08-27"</f>
        <v>1997-08-27</v>
      </c>
      <c r="G295" s="6"/>
    </row>
    <row r="296" spans="1:7" ht="30" customHeight="1">
      <c r="A296" s="6">
        <v>294</v>
      </c>
      <c r="B296" s="6" t="str">
        <f>"3921202205131103159540"</f>
        <v>3921202205131103159540</v>
      </c>
      <c r="C296" s="6" t="s">
        <v>31</v>
      </c>
      <c r="D296" s="6" t="str">
        <f>"陈佳云"</f>
        <v>陈佳云</v>
      </c>
      <c r="E296" s="6" t="str">
        <f t="shared" si="8"/>
        <v>女</v>
      </c>
      <c r="F296" s="6" t="str">
        <f>"1997-08-09"</f>
        <v>1997-08-09</v>
      </c>
      <c r="G296" s="6"/>
    </row>
    <row r="297" spans="1:7" ht="30" customHeight="1">
      <c r="A297" s="6">
        <v>295</v>
      </c>
      <c r="B297" s="6" t="str">
        <f>"3921202205131117089565"</f>
        <v>3921202205131117089565</v>
      </c>
      <c r="C297" s="6" t="s">
        <v>31</v>
      </c>
      <c r="D297" s="6" t="str">
        <f>"符影燕"</f>
        <v>符影燕</v>
      </c>
      <c r="E297" s="6" t="str">
        <f t="shared" si="8"/>
        <v>女</v>
      </c>
      <c r="F297" s="6" t="str">
        <f>"2000-01-15"</f>
        <v>2000-01-15</v>
      </c>
      <c r="G297" s="6"/>
    </row>
    <row r="298" spans="1:7" ht="30" customHeight="1">
      <c r="A298" s="6">
        <v>296</v>
      </c>
      <c r="B298" s="6" t="str">
        <f>"3921202205131128559585"</f>
        <v>3921202205131128559585</v>
      </c>
      <c r="C298" s="6" t="s">
        <v>31</v>
      </c>
      <c r="D298" s="6" t="str">
        <f>"冯晓娟"</f>
        <v>冯晓娟</v>
      </c>
      <c r="E298" s="6" t="str">
        <f t="shared" si="8"/>
        <v>女</v>
      </c>
      <c r="F298" s="6" t="str">
        <f>"2000-03-18"</f>
        <v>2000-03-18</v>
      </c>
      <c r="G298" s="6"/>
    </row>
    <row r="299" spans="1:7" ht="30" customHeight="1">
      <c r="A299" s="6">
        <v>297</v>
      </c>
      <c r="B299" s="6" t="str">
        <f>"3921202205131130299588"</f>
        <v>3921202205131130299588</v>
      </c>
      <c r="C299" s="6" t="s">
        <v>31</v>
      </c>
      <c r="D299" s="6" t="str">
        <f>"冯琼之"</f>
        <v>冯琼之</v>
      </c>
      <c r="E299" s="6" t="str">
        <f aca="true" t="shared" si="9" ref="E299:E307">"女"</f>
        <v>女</v>
      </c>
      <c r="F299" s="6" t="str">
        <f>"2000-11-24"</f>
        <v>2000-11-24</v>
      </c>
      <c r="G299" s="6"/>
    </row>
    <row r="300" spans="1:7" ht="30" customHeight="1">
      <c r="A300" s="6">
        <v>298</v>
      </c>
      <c r="B300" s="6" t="str">
        <f>"3921202205131155209624"</f>
        <v>3921202205131155209624</v>
      </c>
      <c r="C300" s="6" t="s">
        <v>31</v>
      </c>
      <c r="D300" s="6" t="str">
        <f>"容亚愉"</f>
        <v>容亚愉</v>
      </c>
      <c r="E300" s="6" t="str">
        <f t="shared" si="9"/>
        <v>女</v>
      </c>
      <c r="F300" s="6" t="str">
        <f>"1997-01-20"</f>
        <v>1997-01-20</v>
      </c>
      <c r="G300" s="6"/>
    </row>
    <row r="301" spans="1:7" ht="30" customHeight="1">
      <c r="A301" s="6">
        <v>299</v>
      </c>
      <c r="B301" s="6" t="str">
        <f>"3921202205131157589626"</f>
        <v>3921202205131157589626</v>
      </c>
      <c r="C301" s="6" t="s">
        <v>31</v>
      </c>
      <c r="D301" s="6" t="str">
        <f>"黎经莲"</f>
        <v>黎经莲</v>
      </c>
      <c r="E301" s="6" t="str">
        <f t="shared" si="9"/>
        <v>女</v>
      </c>
      <c r="F301" s="6" t="str">
        <f>"1998-04-16"</f>
        <v>1998-04-16</v>
      </c>
      <c r="G301" s="6"/>
    </row>
    <row r="302" spans="1:7" ht="30" customHeight="1">
      <c r="A302" s="6">
        <v>300</v>
      </c>
      <c r="B302" s="6" t="str">
        <f>"3921202205131202569633"</f>
        <v>3921202205131202569633</v>
      </c>
      <c r="C302" s="6" t="s">
        <v>31</v>
      </c>
      <c r="D302" s="6" t="str">
        <f>"罗海顺"</f>
        <v>罗海顺</v>
      </c>
      <c r="E302" s="6" t="str">
        <f t="shared" si="9"/>
        <v>女</v>
      </c>
      <c r="F302" s="6" t="str">
        <f>"1995-04-28"</f>
        <v>1995-04-28</v>
      </c>
      <c r="G302" s="6"/>
    </row>
    <row r="303" spans="1:7" ht="30" customHeight="1">
      <c r="A303" s="6">
        <v>301</v>
      </c>
      <c r="B303" s="6" t="str">
        <f>"3921202205131211209643"</f>
        <v>3921202205131211209643</v>
      </c>
      <c r="C303" s="6" t="s">
        <v>31</v>
      </c>
      <c r="D303" s="6" t="str">
        <f>"陈婆花"</f>
        <v>陈婆花</v>
      </c>
      <c r="E303" s="6" t="str">
        <f t="shared" si="9"/>
        <v>女</v>
      </c>
      <c r="F303" s="6" t="str">
        <f>"1993-08-11"</f>
        <v>1993-08-11</v>
      </c>
      <c r="G303" s="6"/>
    </row>
    <row r="304" spans="1:7" ht="30" customHeight="1">
      <c r="A304" s="6">
        <v>302</v>
      </c>
      <c r="B304" s="6" t="str">
        <f>"3921202205131214399648"</f>
        <v>3921202205131214399648</v>
      </c>
      <c r="C304" s="6" t="s">
        <v>31</v>
      </c>
      <c r="D304" s="6" t="str">
        <f>"赵香丘"</f>
        <v>赵香丘</v>
      </c>
      <c r="E304" s="6" t="str">
        <f t="shared" si="9"/>
        <v>女</v>
      </c>
      <c r="F304" s="6" t="str">
        <f>"1996-02-06"</f>
        <v>1996-02-06</v>
      </c>
      <c r="G304" s="6"/>
    </row>
    <row r="305" spans="1:7" ht="30" customHeight="1">
      <c r="A305" s="6">
        <v>303</v>
      </c>
      <c r="B305" s="6" t="str">
        <f>"3921202205131234589676"</f>
        <v>3921202205131234589676</v>
      </c>
      <c r="C305" s="6" t="s">
        <v>31</v>
      </c>
      <c r="D305" s="6" t="str">
        <f>"邵圣拿"</f>
        <v>邵圣拿</v>
      </c>
      <c r="E305" s="6" t="str">
        <f t="shared" si="9"/>
        <v>女</v>
      </c>
      <c r="F305" s="6" t="str">
        <f>"1997-07-01"</f>
        <v>1997-07-01</v>
      </c>
      <c r="G305" s="6"/>
    </row>
    <row r="306" spans="1:7" ht="30" customHeight="1">
      <c r="A306" s="6">
        <v>304</v>
      </c>
      <c r="B306" s="6" t="str">
        <f>"3921202205131249249699"</f>
        <v>3921202205131249249699</v>
      </c>
      <c r="C306" s="6" t="s">
        <v>31</v>
      </c>
      <c r="D306" s="6" t="str">
        <f>"邱春妹"</f>
        <v>邱春妹</v>
      </c>
      <c r="E306" s="6" t="str">
        <f t="shared" si="9"/>
        <v>女</v>
      </c>
      <c r="F306" s="6" t="str">
        <f>"1995-04-07"</f>
        <v>1995-04-07</v>
      </c>
      <c r="G306" s="6"/>
    </row>
    <row r="307" spans="1:7" ht="30" customHeight="1">
      <c r="A307" s="6">
        <v>305</v>
      </c>
      <c r="B307" s="6" t="str">
        <f>"3921202205131252319702"</f>
        <v>3921202205131252319702</v>
      </c>
      <c r="C307" s="6" t="s">
        <v>31</v>
      </c>
      <c r="D307" s="6" t="str">
        <f>"刘秀丽"</f>
        <v>刘秀丽</v>
      </c>
      <c r="E307" s="6" t="str">
        <f t="shared" si="9"/>
        <v>女</v>
      </c>
      <c r="F307" s="6" t="str">
        <f>"1997-11-14"</f>
        <v>1997-11-14</v>
      </c>
      <c r="G307" s="6"/>
    </row>
    <row r="308" spans="1:7" ht="30" customHeight="1">
      <c r="A308" s="6">
        <v>306</v>
      </c>
      <c r="B308" s="6" t="str">
        <f>"3921202205131330239752"</f>
        <v>3921202205131330239752</v>
      </c>
      <c r="C308" s="6" t="s">
        <v>31</v>
      </c>
      <c r="D308" s="6" t="str">
        <f>"符步科"</f>
        <v>符步科</v>
      </c>
      <c r="E308" s="6" t="str">
        <f>"男"</f>
        <v>男</v>
      </c>
      <c r="F308" s="6" t="str">
        <f>"1995-11-03"</f>
        <v>1995-11-03</v>
      </c>
      <c r="G308" s="6"/>
    </row>
    <row r="309" spans="1:7" ht="30" customHeight="1">
      <c r="A309" s="6">
        <v>307</v>
      </c>
      <c r="B309" s="6" t="str">
        <f>"3921202205131340339761"</f>
        <v>3921202205131340339761</v>
      </c>
      <c r="C309" s="6" t="s">
        <v>31</v>
      </c>
      <c r="D309" s="6" t="str">
        <f>"符杰川"</f>
        <v>符杰川</v>
      </c>
      <c r="E309" s="6" t="str">
        <f aca="true" t="shared" si="10" ref="E309:E320">"女"</f>
        <v>女</v>
      </c>
      <c r="F309" s="6" t="str">
        <f>"1994-12-20"</f>
        <v>1994-12-20</v>
      </c>
      <c r="G309" s="6"/>
    </row>
    <row r="310" spans="1:7" ht="30" customHeight="1">
      <c r="A310" s="6">
        <v>308</v>
      </c>
      <c r="B310" s="6" t="str">
        <f>"3921202205131354099770"</f>
        <v>3921202205131354099770</v>
      </c>
      <c r="C310" s="6" t="s">
        <v>31</v>
      </c>
      <c r="D310" s="6" t="str">
        <f>"韦吏子"</f>
        <v>韦吏子</v>
      </c>
      <c r="E310" s="6" t="str">
        <f t="shared" si="10"/>
        <v>女</v>
      </c>
      <c r="F310" s="6" t="str">
        <f>"1997-05-28"</f>
        <v>1997-05-28</v>
      </c>
      <c r="G310" s="6"/>
    </row>
    <row r="311" spans="1:7" ht="30" customHeight="1">
      <c r="A311" s="6">
        <v>309</v>
      </c>
      <c r="B311" s="6" t="str">
        <f>"3921202205131357359780"</f>
        <v>3921202205131357359780</v>
      </c>
      <c r="C311" s="6" t="s">
        <v>31</v>
      </c>
      <c r="D311" s="6" t="str">
        <f>"李容容"</f>
        <v>李容容</v>
      </c>
      <c r="E311" s="6" t="str">
        <f t="shared" si="10"/>
        <v>女</v>
      </c>
      <c r="F311" s="6" t="str">
        <f>"1993-10-09"</f>
        <v>1993-10-09</v>
      </c>
      <c r="G311" s="6"/>
    </row>
    <row r="312" spans="1:7" ht="30" customHeight="1">
      <c r="A312" s="6">
        <v>310</v>
      </c>
      <c r="B312" s="6" t="str">
        <f>"3921202205131404589786"</f>
        <v>3921202205131404589786</v>
      </c>
      <c r="C312" s="6" t="s">
        <v>31</v>
      </c>
      <c r="D312" s="6" t="str">
        <f>"欧少娆"</f>
        <v>欧少娆</v>
      </c>
      <c r="E312" s="6" t="str">
        <f t="shared" si="10"/>
        <v>女</v>
      </c>
      <c r="F312" s="6" t="str">
        <f>"1999-06-28"</f>
        <v>1999-06-28</v>
      </c>
      <c r="G312" s="6"/>
    </row>
    <row r="313" spans="1:7" ht="30" customHeight="1">
      <c r="A313" s="6">
        <v>311</v>
      </c>
      <c r="B313" s="6" t="str">
        <f>"3921202205131437249821"</f>
        <v>3921202205131437249821</v>
      </c>
      <c r="C313" s="6" t="s">
        <v>31</v>
      </c>
      <c r="D313" s="6" t="str">
        <f>"罗贻倍"</f>
        <v>罗贻倍</v>
      </c>
      <c r="E313" s="6" t="str">
        <f t="shared" si="10"/>
        <v>女</v>
      </c>
      <c r="F313" s="6" t="str">
        <f>"1996-10-04"</f>
        <v>1996-10-04</v>
      </c>
      <c r="G313" s="6"/>
    </row>
    <row r="314" spans="1:7" ht="30" customHeight="1">
      <c r="A314" s="6">
        <v>312</v>
      </c>
      <c r="B314" s="6" t="str">
        <f>"3921202205131437509822"</f>
        <v>3921202205131437509822</v>
      </c>
      <c r="C314" s="6" t="s">
        <v>31</v>
      </c>
      <c r="D314" s="6" t="str">
        <f>"许锋香"</f>
        <v>许锋香</v>
      </c>
      <c r="E314" s="6" t="str">
        <f t="shared" si="10"/>
        <v>女</v>
      </c>
      <c r="F314" s="6" t="str">
        <f>"2000-06-25"</f>
        <v>2000-06-25</v>
      </c>
      <c r="G314" s="6"/>
    </row>
    <row r="315" spans="1:7" ht="30" customHeight="1">
      <c r="A315" s="6">
        <v>313</v>
      </c>
      <c r="B315" s="6" t="str">
        <f>"3921202205131445529839"</f>
        <v>3921202205131445529839</v>
      </c>
      <c r="C315" s="6" t="s">
        <v>31</v>
      </c>
      <c r="D315" s="6" t="str">
        <f>"陈举芸"</f>
        <v>陈举芸</v>
      </c>
      <c r="E315" s="6" t="str">
        <f t="shared" si="10"/>
        <v>女</v>
      </c>
      <c r="F315" s="6" t="str">
        <f>"2000-11-15"</f>
        <v>2000-11-15</v>
      </c>
      <c r="G315" s="6"/>
    </row>
    <row r="316" spans="1:7" ht="30" customHeight="1">
      <c r="A316" s="6">
        <v>314</v>
      </c>
      <c r="B316" s="6" t="str">
        <f>"3921202205131445569840"</f>
        <v>3921202205131445569840</v>
      </c>
      <c r="C316" s="6" t="s">
        <v>31</v>
      </c>
      <c r="D316" s="6" t="str">
        <f>"翁海妹"</f>
        <v>翁海妹</v>
      </c>
      <c r="E316" s="6" t="str">
        <f t="shared" si="10"/>
        <v>女</v>
      </c>
      <c r="F316" s="6" t="str">
        <f>"1994-10-20"</f>
        <v>1994-10-20</v>
      </c>
      <c r="G316" s="6"/>
    </row>
    <row r="317" spans="1:7" ht="30" customHeight="1">
      <c r="A317" s="6">
        <v>315</v>
      </c>
      <c r="B317" s="6" t="str">
        <f>"3921202205131504399862"</f>
        <v>3921202205131504399862</v>
      </c>
      <c r="C317" s="6" t="s">
        <v>31</v>
      </c>
      <c r="D317" s="6" t="str">
        <f>"陈桂花"</f>
        <v>陈桂花</v>
      </c>
      <c r="E317" s="6" t="str">
        <f t="shared" si="10"/>
        <v>女</v>
      </c>
      <c r="F317" s="6" t="str">
        <f>"1998-11-07"</f>
        <v>1998-11-07</v>
      </c>
      <c r="G317" s="6"/>
    </row>
    <row r="318" spans="1:7" ht="30" customHeight="1">
      <c r="A318" s="6">
        <v>316</v>
      </c>
      <c r="B318" s="6" t="str">
        <f>"3921202205131515589880"</f>
        <v>3921202205131515589880</v>
      </c>
      <c r="C318" s="6" t="s">
        <v>31</v>
      </c>
      <c r="D318" s="6" t="str">
        <f>"陈翔"</f>
        <v>陈翔</v>
      </c>
      <c r="E318" s="6" t="str">
        <f t="shared" si="10"/>
        <v>女</v>
      </c>
      <c r="F318" s="6" t="str">
        <f>"2000-08-07"</f>
        <v>2000-08-07</v>
      </c>
      <c r="G318" s="6"/>
    </row>
    <row r="319" spans="1:7" ht="30" customHeight="1">
      <c r="A319" s="6">
        <v>317</v>
      </c>
      <c r="B319" s="6" t="str">
        <f>"3921202205131619549981"</f>
        <v>3921202205131619549981</v>
      </c>
      <c r="C319" s="6" t="s">
        <v>31</v>
      </c>
      <c r="D319" s="6" t="str">
        <f>"林誓"</f>
        <v>林誓</v>
      </c>
      <c r="E319" s="6" t="str">
        <f t="shared" si="10"/>
        <v>女</v>
      </c>
      <c r="F319" s="6" t="str">
        <f>"1997-04-04"</f>
        <v>1997-04-04</v>
      </c>
      <c r="G319" s="6"/>
    </row>
    <row r="320" spans="1:7" ht="30" customHeight="1">
      <c r="A320" s="6">
        <v>318</v>
      </c>
      <c r="B320" s="6" t="str">
        <f>"3921202205131623049987"</f>
        <v>3921202205131623049987</v>
      </c>
      <c r="C320" s="6" t="s">
        <v>31</v>
      </c>
      <c r="D320" s="6" t="str">
        <f>"李美莲"</f>
        <v>李美莲</v>
      </c>
      <c r="E320" s="6" t="str">
        <f t="shared" si="10"/>
        <v>女</v>
      </c>
      <c r="F320" s="6" t="str">
        <f>"1995-03-07"</f>
        <v>1995-03-07</v>
      </c>
      <c r="G320" s="6"/>
    </row>
    <row r="321" spans="1:7" ht="30" customHeight="1">
      <c r="A321" s="6">
        <v>319</v>
      </c>
      <c r="B321" s="6" t="str">
        <f>"39212022051316321010005"</f>
        <v>39212022051316321010005</v>
      </c>
      <c r="C321" s="6" t="s">
        <v>31</v>
      </c>
      <c r="D321" s="6" t="str">
        <f>"夏锦灿"</f>
        <v>夏锦灿</v>
      </c>
      <c r="E321" s="6" t="str">
        <f>"男"</f>
        <v>男</v>
      </c>
      <c r="F321" s="6" t="str">
        <f>"1997-02-11"</f>
        <v>1997-02-11</v>
      </c>
      <c r="G321" s="6"/>
    </row>
    <row r="322" spans="1:7" ht="30" customHeight="1">
      <c r="A322" s="6">
        <v>320</v>
      </c>
      <c r="B322" s="6" t="str">
        <f>"39212022051316503610042"</f>
        <v>39212022051316503610042</v>
      </c>
      <c r="C322" s="6" t="s">
        <v>31</v>
      </c>
      <c r="D322" s="6" t="str">
        <f>"唐婷"</f>
        <v>唐婷</v>
      </c>
      <c r="E322" s="6" t="str">
        <f aca="true" t="shared" si="11" ref="E322:E328">"女"</f>
        <v>女</v>
      </c>
      <c r="F322" s="6" t="str">
        <f>"1999-06-06"</f>
        <v>1999-06-06</v>
      </c>
      <c r="G322" s="6"/>
    </row>
    <row r="323" spans="1:7" ht="30" customHeight="1">
      <c r="A323" s="6">
        <v>321</v>
      </c>
      <c r="B323" s="6" t="str">
        <f>"39212022051316582610055"</f>
        <v>39212022051316582610055</v>
      </c>
      <c r="C323" s="6" t="s">
        <v>31</v>
      </c>
      <c r="D323" s="6" t="str">
        <f>"羊秀蓉"</f>
        <v>羊秀蓉</v>
      </c>
      <c r="E323" s="6" t="str">
        <f t="shared" si="11"/>
        <v>女</v>
      </c>
      <c r="F323" s="6" t="str">
        <f>"2000-10-01"</f>
        <v>2000-10-01</v>
      </c>
      <c r="G323" s="6"/>
    </row>
    <row r="324" spans="1:7" ht="30" customHeight="1">
      <c r="A324" s="6">
        <v>322</v>
      </c>
      <c r="B324" s="6" t="str">
        <f>"39212022051317051510061"</f>
        <v>39212022051317051510061</v>
      </c>
      <c r="C324" s="6" t="s">
        <v>31</v>
      </c>
      <c r="D324" s="6" t="str">
        <f>"黄荟"</f>
        <v>黄荟</v>
      </c>
      <c r="E324" s="6" t="str">
        <f t="shared" si="11"/>
        <v>女</v>
      </c>
      <c r="F324" s="6" t="str">
        <f>"1999-03-16"</f>
        <v>1999-03-16</v>
      </c>
      <c r="G324" s="6"/>
    </row>
    <row r="325" spans="1:7" ht="30" customHeight="1">
      <c r="A325" s="6">
        <v>323</v>
      </c>
      <c r="B325" s="6" t="str">
        <f>"39212022051317260211446"</f>
        <v>39212022051317260211446</v>
      </c>
      <c r="C325" s="6" t="s">
        <v>31</v>
      </c>
      <c r="D325" s="6" t="str">
        <f>"吉女萍"</f>
        <v>吉女萍</v>
      </c>
      <c r="E325" s="6" t="str">
        <f t="shared" si="11"/>
        <v>女</v>
      </c>
      <c r="F325" s="6" t="str">
        <f>"1995-08-07"</f>
        <v>1995-08-07</v>
      </c>
      <c r="G325" s="6"/>
    </row>
    <row r="326" spans="1:7" ht="30" customHeight="1">
      <c r="A326" s="6">
        <v>324</v>
      </c>
      <c r="B326" s="6" t="str">
        <f>"39212022051319204729877"</f>
        <v>39212022051319204729877</v>
      </c>
      <c r="C326" s="6" t="s">
        <v>31</v>
      </c>
      <c r="D326" s="6" t="str">
        <f>"黎明婷"</f>
        <v>黎明婷</v>
      </c>
      <c r="E326" s="6" t="str">
        <f t="shared" si="11"/>
        <v>女</v>
      </c>
      <c r="F326" s="6" t="str">
        <f>"1996-01-16"</f>
        <v>1996-01-16</v>
      </c>
      <c r="G326" s="6"/>
    </row>
    <row r="327" spans="1:7" ht="30" customHeight="1">
      <c r="A327" s="6">
        <v>325</v>
      </c>
      <c r="B327" s="6" t="str">
        <f>"39212022051319251629881"</f>
        <v>39212022051319251629881</v>
      </c>
      <c r="C327" s="6" t="s">
        <v>31</v>
      </c>
      <c r="D327" s="6" t="str">
        <f>"吉小翠"</f>
        <v>吉小翠</v>
      </c>
      <c r="E327" s="6" t="str">
        <f t="shared" si="11"/>
        <v>女</v>
      </c>
      <c r="F327" s="6" t="str">
        <f>"2001-10-16"</f>
        <v>2001-10-16</v>
      </c>
      <c r="G327" s="6"/>
    </row>
    <row r="328" spans="1:7" ht="30" customHeight="1">
      <c r="A328" s="6">
        <v>326</v>
      </c>
      <c r="B328" s="6" t="str">
        <f>"39212022051319505229897"</f>
        <v>39212022051319505229897</v>
      </c>
      <c r="C328" s="6" t="s">
        <v>31</v>
      </c>
      <c r="D328" s="6" t="str">
        <f>"罗臣"</f>
        <v>罗臣</v>
      </c>
      <c r="E328" s="6" t="str">
        <f t="shared" si="11"/>
        <v>女</v>
      </c>
      <c r="F328" s="6" t="str">
        <f>"1996-09-18"</f>
        <v>1996-09-18</v>
      </c>
      <c r="G328" s="6"/>
    </row>
    <row r="329" spans="1:7" ht="30" customHeight="1">
      <c r="A329" s="6">
        <v>327</v>
      </c>
      <c r="B329" s="6" t="str">
        <f>"39212022051319511129898"</f>
        <v>39212022051319511129898</v>
      </c>
      <c r="C329" s="6" t="s">
        <v>31</v>
      </c>
      <c r="D329" s="6" t="str">
        <f>"申晨阳"</f>
        <v>申晨阳</v>
      </c>
      <c r="E329" s="6" t="str">
        <f>"男"</f>
        <v>男</v>
      </c>
      <c r="F329" s="6" t="str">
        <f>"1997-12-28"</f>
        <v>1997-12-28</v>
      </c>
      <c r="G329" s="6"/>
    </row>
    <row r="330" spans="1:7" ht="30" customHeight="1">
      <c r="A330" s="6">
        <v>328</v>
      </c>
      <c r="B330" s="6" t="str">
        <f>"39212022051319535829903"</f>
        <v>39212022051319535829903</v>
      </c>
      <c r="C330" s="6" t="s">
        <v>31</v>
      </c>
      <c r="D330" s="6" t="str">
        <f>"周欢"</f>
        <v>周欢</v>
      </c>
      <c r="E330" s="6" t="str">
        <f aca="true" t="shared" si="12" ref="E330:E339">"女"</f>
        <v>女</v>
      </c>
      <c r="F330" s="6" t="str">
        <f>"2000-10-02"</f>
        <v>2000-10-02</v>
      </c>
      <c r="G330" s="6"/>
    </row>
    <row r="331" spans="1:7" ht="30" customHeight="1">
      <c r="A331" s="6">
        <v>329</v>
      </c>
      <c r="B331" s="6" t="str">
        <f>"39212022051320083929912"</f>
        <v>39212022051320083929912</v>
      </c>
      <c r="C331" s="6" t="s">
        <v>31</v>
      </c>
      <c r="D331" s="6" t="str">
        <f>"梁芳芳"</f>
        <v>梁芳芳</v>
      </c>
      <c r="E331" s="6" t="str">
        <f t="shared" si="12"/>
        <v>女</v>
      </c>
      <c r="F331" s="6" t="str">
        <f>"2001-05-02"</f>
        <v>2001-05-02</v>
      </c>
      <c r="G331" s="6"/>
    </row>
    <row r="332" spans="1:7" ht="30" customHeight="1">
      <c r="A332" s="6">
        <v>330</v>
      </c>
      <c r="B332" s="6" t="str">
        <f>"39212022051320180329921"</f>
        <v>39212022051320180329921</v>
      </c>
      <c r="C332" s="6" t="s">
        <v>31</v>
      </c>
      <c r="D332" s="6" t="str">
        <f>"罗金雪"</f>
        <v>罗金雪</v>
      </c>
      <c r="E332" s="6" t="str">
        <f t="shared" si="12"/>
        <v>女</v>
      </c>
      <c r="F332" s="6" t="str">
        <f>"1997-03-09"</f>
        <v>1997-03-09</v>
      </c>
      <c r="G332" s="6"/>
    </row>
    <row r="333" spans="1:7" ht="30" customHeight="1">
      <c r="A333" s="6">
        <v>331</v>
      </c>
      <c r="B333" s="6" t="str">
        <f>"39212022051320183929922"</f>
        <v>39212022051320183929922</v>
      </c>
      <c r="C333" s="6" t="s">
        <v>31</v>
      </c>
      <c r="D333" s="6" t="str">
        <f>"林娜"</f>
        <v>林娜</v>
      </c>
      <c r="E333" s="6" t="str">
        <f t="shared" si="12"/>
        <v>女</v>
      </c>
      <c r="F333" s="6" t="str">
        <f>"2000-09-15"</f>
        <v>2000-09-15</v>
      </c>
      <c r="G333" s="6"/>
    </row>
    <row r="334" spans="1:7" ht="30" customHeight="1">
      <c r="A334" s="6">
        <v>332</v>
      </c>
      <c r="B334" s="6" t="str">
        <f>"39212022051320295929927"</f>
        <v>39212022051320295929927</v>
      </c>
      <c r="C334" s="6" t="s">
        <v>31</v>
      </c>
      <c r="D334" s="6" t="str">
        <f>"麦夏婷"</f>
        <v>麦夏婷</v>
      </c>
      <c r="E334" s="6" t="str">
        <f t="shared" si="12"/>
        <v>女</v>
      </c>
      <c r="F334" s="6" t="str">
        <f>"1999-03-15"</f>
        <v>1999-03-15</v>
      </c>
      <c r="G334" s="6"/>
    </row>
    <row r="335" spans="1:7" ht="30" customHeight="1">
      <c r="A335" s="6">
        <v>333</v>
      </c>
      <c r="B335" s="6" t="str">
        <f>"39212022051320371829935"</f>
        <v>39212022051320371829935</v>
      </c>
      <c r="C335" s="6" t="s">
        <v>31</v>
      </c>
      <c r="D335" s="6" t="str">
        <f>"李正霞"</f>
        <v>李正霞</v>
      </c>
      <c r="E335" s="6" t="str">
        <f t="shared" si="12"/>
        <v>女</v>
      </c>
      <c r="F335" s="6" t="str">
        <f>"1999-05-18"</f>
        <v>1999-05-18</v>
      </c>
      <c r="G335" s="6"/>
    </row>
    <row r="336" spans="1:7" ht="30" customHeight="1">
      <c r="A336" s="6">
        <v>334</v>
      </c>
      <c r="B336" s="6" t="str">
        <f>"39212022051320412729936"</f>
        <v>39212022051320412729936</v>
      </c>
      <c r="C336" s="6" t="s">
        <v>31</v>
      </c>
      <c r="D336" s="6" t="str">
        <f>"符影芳"</f>
        <v>符影芳</v>
      </c>
      <c r="E336" s="6" t="str">
        <f t="shared" si="12"/>
        <v>女</v>
      </c>
      <c r="F336" s="6" t="str">
        <f>"1999-12-12"</f>
        <v>1999-12-12</v>
      </c>
      <c r="G336" s="6"/>
    </row>
    <row r="337" spans="1:7" ht="30" customHeight="1">
      <c r="A337" s="6">
        <v>335</v>
      </c>
      <c r="B337" s="6" t="str">
        <f>"39212022051320440529937"</f>
        <v>39212022051320440529937</v>
      </c>
      <c r="C337" s="6" t="s">
        <v>31</v>
      </c>
      <c r="D337" s="6" t="str">
        <f>"陈运喜"</f>
        <v>陈运喜</v>
      </c>
      <c r="E337" s="6" t="str">
        <f t="shared" si="12"/>
        <v>女</v>
      </c>
      <c r="F337" s="6" t="str">
        <f>"1996-12-07"</f>
        <v>1996-12-07</v>
      </c>
      <c r="G337" s="6"/>
    </row>
    <row r="338" spans="1:7" ht="30" customHeight="1">
      <c r="A338" s="6">
        <v>336</v>
      </c>
      <c r="B338" s="6" t="str">
        <f>"39212022051321100329967"</f>
        <v>39212022051321100329967</v>
      </c>
      <c r="C338" s="6" t="s">
        <v>31</v>
      </c>
      <c r="D338" s="6" t="str">
        <f>"郑逍"</f>
        <v>郑逍</v>
      </c>
      <c r="E338" s="6" t="str">
        <f t="shared" si="12"/>
        <v>女</v>
      </c>
      <c r="F338" s="6" t="str">
        <f>"1997-07-26"</f>
        <v>1997-07-26</v>
      </c>
      <c r="G338" s="6"/>
    </row>
    <row r="339" spans="1:7" ht="30" customHeight="1">
      <c r="A339" s="6">
        <v>337</v>
      </c>
      <c r="B339" s="6" t="str">
        <f>"39212022051321500829994"</f>
        <v>39212022051321500829994</v>
      </c>
      <c r="C339" s="6" t="s">
        <v>31</v>
      </c>
      <c r="D339" s="6" t="str">
        <f>"麦萍"</f>
        <v>麦萍</v>
      </c>
      <c r="E339" s="6" t="str">
        <f t="shared" si="12"/>
        <v>女</v>
      </c>
      <c r="F339" s="6" t="str">
        <f>"2001-04-20"</f>
        <v>2001-04-20</v>
      </c>
      <c r="G339" s="6"/>
    </row>
    <row r="340" spans="1:7" ht="30" customHeight="1">
      <c r="A340" s="6">
        <v>338</v>
      </c>
      <c r="B340" s="6" t="str">
        <f>"39212022051322203630019"</f>
        <v>39212022051322203630019</v>
      </c>
      <c r="C340" s="6" t="s">
        <v>31</v>
      </c>
      <c r="D340" s="6" t="str">
        <f>"陈垂行"</f>
        <v>陈垂行</v>
      </c>
      <c r="E340" s="6" t="str">
        <f>"男"</f>
        <v>男</v>
      </c>
      <c r="F340" s="6" t="str">
        <f>"1996-08-15"</f>
        <v>1996-08-15</v>
      </c>
      <c r="G340" s="6"/>
    </row>
    <row r="341" spans="1:7" ht="30" customHeight="1">
      <c r="A341" s="6">
        <v>339</v>
      </c>
      <c r="B341" s="6" t="str">
        <f>"39212022051322240930021"</f>
        <v>39212022051322240930021</v>
      </c>
      <c r="C341" s="6" t="s">
        <v>31</v>
      </c>
      <c r="D341" s="6" t="str">
        <f>"李珊珊"</f>
        <v>李珊珊</v>
      </c>
      <c r="E341" s="6" t="str">
        <f aca="true" t="shared" si="13" ref="E341:E382">"女"</f>
        <v>女</v>
      </c>
      <c r="F341" s="6" t="str">
        <f>"2000-11-28"</f>
        <v>2000-11-28</v>
      </c>
      <c r="G341" s="6"/>
    </row>
    <row r="342" spans="1:7" ht="30" customHeight="1">
      <c r="A342" s="6">
        <v>340</v>
      </c>
      <c r="B342" s="6" t="str">
        <f>"39212022051322452230042"</f>
        <v>39212022051322452230042</v>
      </c>
      <c r="C342" s="6" t="s">
        <v>31</v>
      </c>
      <c r="D342" s="6" t="str">
        <f>"黄炳焕"</f>
        <v>黄炳焕</v>
      </c>
      <c r="E342" s="6" t="str">
        <f t="shared" si="13"/>
        <v>女</v>
      </c>
      <c r="F342" s="6" t="str">
        <f>"1998-03-18"</f>
        <v>1998-03-18</v>
      </c>
      <c r="G342" s="6"/>
    </row>
    <row r="343" spans="1:7" ht="30" customHeight="1">
      <c r="A343" s="6">
        <v>341</v>
      </c>
      <c r="B343" s="6" t="str">
        <f>"39212022051322460630043"</f>
        <v>39212022051322460630043</v>
      </c>
      <c r="C343" s="6" t="s">
        <v>31</v>
      </c>
      <c r="D343" s="6" t="str">
        <f>"吴玲玲"</f>
        <v>吴玲玲</v>
      </c>
      <c r="E343" s="6" t="str">
        <f t="shared" si="13"/>
        <v>女</v>
      </c>
      <c r="F343" s="6" t="str">
        <f>"1999-09-19"</f>
        <v>1999-09-19</v>
      </c>
      <c r="G343" s="6"/>
    </row>
    <row r="344" spans="1:7" ht="30" customHeight="1">
      <c r="A344" s="6">
        <v>342</v>
      </c>
      <c r="B344" s="6" t="str">
        <f>"39212022051323451730067"</f>
        <v>39212022051323451730067</v>
      </c>
      <c r="C344" s="6" t="s">
        <v>31</v>
      </c>
      <c r="D344" s="6" t="str">
        <f>"陈村"</f>
        <v>陈村</v>
      </c>
      <c r="E344" s="6" t="str">
        <f t="shared" si="13"/>
        <v>女</v>
      </c>
      <c r="F344" s="6" t="str">
        <f>"1996-08-05"</f>
        <v>1996-08-05</v>
      </c>
      <c r="G344" s="6"/>
    </row>
    <row r="345" spans="1:7" ht="30" customHeight="1">
      <c r="A345" s="6">
        <v>343</v>
      </c>
      <c r="B345" s="6" t="str">
        <f>"39212022051401562230081"</f>
        <v>39212022051401562230081</v>
      </c>
      <c r="C345" s="6" t="s">
        <v>31</v>
      </c>
      <c r="D345" s="6" t="str">
        <f>"许丽川"</f>
        <v>许丽川</v>
      </c>
      <c r="E345" s="6" t="str">
        <f t="shared" si="13"/>
        <v>女</v>
      </c>
      <c r="F345" s="6" t="str">
        <f>"1996-05-08"</f>
        <v>1996-05-08</v>
      </c>
      <c r="G345" s="6"/>
    </row>
    <row r="346" spans="1:7" ht="30" customHeight="1">
      <c r="A346" s="6">
        <v>344</v>
      </c>
      <c r="B346" s="6" t="str">
        <f>"39212022051406451130084"</f>
        <v>39212022051406451130084</v>
      </c>
      <c r="C346" s="6" t="s">
        <v>31</v>
      </c>
      <c r="D346" s="6" t="str">
        <f>"羊裕霞"</f>
        <v>羊裕霞</v>
      </c>
      <c r="E346" s="6" t="str">
        <f t="shared" si="13"/>
        <v>女</v>
      </c>
      <c r="F346" s="6" t="str">
        <f>"1998-12-30"</f>
        <v>1998-12-30</v>
      </c>
      <c r="G346" s="6"/>
    </row>
    <row r="347" spans="1:7" ht="30" customHeight="1">
      <c r="A347" s="6">
        <v>345</v>
      </c>
      <c r="B347" s="6" t="str">
        <f>"39212022051408044830098"</f>
        <v>39212022051408044830098</v>
      </c>
      <c r="C347" s="6" t="s">
        <v>31</v>
      </c>
      <c r="D347" s="6" t="str">
        <f>"陈坪"</f>
        <v>陈坪</v>
      </c>
      <c r="E347" s="6" t="str">
        <f t="shared" si="13"/>
        <v>女</v>
      </c>
      <c r="F347" s="6" t="str">
        <f>"1999-04-20"</f>
        <v>1999-04-20</v>
      </c>
      <c r="G347" s="6"/>
    </row>
    <row r="348" spans="1:7" ht="30" customHeight="1">
      <c r="A348" s="6">
        <v>346</v>
      </c>
      <c r="B348" s="6" t="str">
        <f>"39212022051408054530100"</f>
        <v>39212022051408054530100</v>
      </c>
      <c r="C348" s="6" t="s">
        <v>31</v>
      </c>
      <c r="D348" s="6" t="str">
        <f>"朱琼瑜"</f>
        <v>朱琼瑜</v>
      </c>
      <c r="E348" s="6" t="str">
        <f t="shared" si="13"/>
        <v>女</v>
      </c>
      <c r="F348" s="6" t="str">
        <f>"1998-01-06"</f>
        <v>1998-01-06</v>
      </c>
      <c r="G348" s="6"/>
    </row>
    <row r="349" spans="1:7" ht="30" customHeight="1">
      <c r="A349" s="6">
        <v>347</v>
      </c>
      <c r="B349" s="6" t="str">
        <f>"39212022051408210730106"</f>
        <v>39212022051408210730106</v>
      </c>
      <c r="C349" s="6" t="s">
        <v>31</v>
      </c>
      <c r="D349" s="6" t="str">
        <f>"王小妹"</f>
        <v>王小妹</v>
      </c>
      <c r="E349" s="6" t="str">
        <f t="shared" si="13"/>
        <v>女</v>
      </c>
      <c r="F349" s="6" t="str">
        <f>"1996-09-28"</f>
        <v>1996-09-28</v>
      </c>
      <c r="G349" s="6"/>
    </row>
    <row r="350" spans="1:7" ht="30" customHeight="1">
      <c r="A350" s="6">
        <v>348</v>
      </c>
      <c r="B350" s="6" t="str">
        <f>"39212022051409244330139"</f>
        <v>39212022051409244330139</v>
      </c>
      <c r="C350" s="6" t="s">
        <v>31</v>
      </c>
      <c r="D350" s="6" t="str">
        <f>"周清云"</f>
        <v>周清云</v>
      </c>
      <c r="E350" s="6" t="str">
        <f t="shared" si="13"/>
        <v>女</v>
      </c>
      <c r="F350" s="6" t="str">
        <f>"1997-01-14"</f>
        <v>1997-01-14</v>
      </c>
      <c r="G350" s="6"/>
    </row>
    <row r="351" spans="1:7" ht="30" customHeight="1">
      <c r="A351" s="6">
        <v>349</v>
      </c>
      <c r="B351" s="6" t="str">
        <f>"39212022051409470630152"</f>
        <v>39212022051409470630152</v>
      </c>
      <c r="C351" s="6" t="s">
        <v>31</v>
      </c>
      <c r="D351" s="6" t="str">
        <f>"韦桃燕"</f>
        <v>韦桃燕</v>
      </c>
      <c r="E351" s="6" t="str">
        <f t="shared" si="13"/>
        <v>女</v>
      </c>
      <c r="F351" s="6" t="str">
        <f>"1997-09-10"</f>
        <v>1997-09-10</v>
      </c>
      <c r="G351" s="6"/>
    </row>
    <row r="352" spans="1:7" ht="30" customHeight="1">
      <c r="A352" s="6">
        <v>350</v>
      </c>
      <c r="B352" s="6" t="str">
        <f>"39212022051410000430162"</f>
        <v>39212022051410000430162</v>
      </c>
      <c r="C352" s="6" t="s">
        <v>31</v>
      </c>
      <c r="D352" s="6" t="str">
        <f>"陈婷满"</f>
        <v>陈婷满</v>
      </c>
      <c r="E352" s="6" t="str">
        <f t="shared" si="13"/>
        <v>女</v>
      </c>
      <c r="F352" s="6" t="str">
        <f>"1995-08-25"</f>
        <v>1995-08-25</v>
      </c>
      <c r="G352" s="6"/>
    </row>
    <row r="353" spans="1:7" ht="30" customHeight="1">
      <c r="A353" s="6">
        <v>351</v>
      </c>
      <c r="B353" s="6" t="str">
        <f>"39212022051410481130201"</f>
        <v>39212022051410481130201</v>
      </c>
      <c r="C353" s="6" t="s">
        <v>31</v>
      </c>
      <c r="D353" s="6" t="str">
        <f>"林碧云"</f>
        <v>林碧云</v>
      </c>
      <c r="E353" s="6" t="str">
        <f t="shared" si="13"/>
        <v>女</v>
      </c>
      <c r="F353" s="6" t="str">
        <f>"1992-04-10"</f>
        <v>1992-04-10</v>
      </c>
      <c r="G353" s="6"/>
    </row>
    <row r="354" spans="1:7" ht="30" customHeight="1">
      <c r="A354" s="6">
        <v>352</v>
      </c>
      <c r="B354" s="6" t="str">
        <f>"39212022051411202330225"</f>
        <v>39212022051411202330225</v>
      </c>
      <c r="C354" s="6" t="s">
        <v>31</v>
      </c>
      <c r="D354" s="6" t="str">
        <f>"陈润润"</f>
        <v>陈润润</v>
      </c>
      <c r="E354" s="6" t="str">
        <f t="shared" si="13"/>
        <v>女</v>
      </c>
      <c r="F354" s="6" t="str">
        <f>"1999-10-13"</f>
        <v>1999-10-13</v>
      </c>
      <c r="G354" s="6"/>
    </row>
    <row r="355" spans="1:7" ht="30" customHeight="1">
      <c r="A355" s="6">
        <v>353</v>
      </c>
      <c r="B355" s="6" t="str">
        <f>"39212022051411393230240"</f>
        <v>39212022051411393230240</v>
      </c>
      <c r="C355" s="6" t="s">
        <v>31</v>
      </c>
      <c r="D355" s="6" t="str">
        <f>"李暖"</f>
        <v>李暖</v>
      </c>
      <c r="E355" s="6" t="str">
        <f t="shared" si="13"/>
        <v>女</v>
      </c>
      <c r="F355" s="6" t="str">
        <f>"1999-11-12"</f>
        <v>1999-11-12</v>
      </c>
      <c r="G355" s="6"/>
    </row>
    <row r="356" spans="1:7" ht="30" customHeight="1">
      <c r="A356" s="6">
        <v>354</v>
      </c>
      <c r="B356" s="6" t="str">
        <f>"39212022051412213730265"</f>
        <v>39212022051412213730265</v>
      </c>
      <c r="C356" s="6" t="s">
        <v>31</v>
      </c>
      <c r="D356" s="6" t="str">
        <f>"林玉敏"</f>
        <v>林玉敏</v>
      </c>
      <c r="E356" s="6" t="str">
        <f t="shared" si="13"/>
        <v>女</v>
      </c>
      <c r="F356" s="6" t="str">
        <f>"1998-05-19"</f>
        <v>1998-05-19</v>
      </c>
      <c r="G356" s="6"/>
    </row>
    <row r="357" spans="1:7" ht="30" customHeight="1">
      <c r="A357" s="6">
        <v>355</v>
      </c>
      <c r="B357" s="6" t="str">
        <f>"39212022051413001530286"</f>
        <v>39212022051413001530286</v>
      </c>
      <c r="C357" s="6" t="s">
        <v>31</v>
      </c>
      <c r="D357" s="6" t="str">
        <f>"陈应蓉"</f>
        <v>陈应蓉</v>
      </c>
      <c r="E357" s="6" t="str">
        <f t="shared" si="13"/>
        <v>女</v>
      </c>
      <c r="F357" s="6" t="str">
        <f>"1997-08-07"</f>
        <v>1997-08-07</v>
      </c>
      <c r="G357" s="6"/>
    </row>
    <row r="358" spans="1:7" ht="30" customHeight="1">
      <c r="A358" s="6">
        <v>356</v>
      </c>
      <c r="B358" s="6" t="str">
        <f>"39212022051413101630292"</f>
        <v>39212022051413101630292</v>
      </c>
      <c r="C358" s="6" t="s">
        <v>31</v>
      </c>
      <c r="D358" s="6" t="str">
        <f>"吴香丽"</f>
        <v>吴香丽</v>
      </c>
      <c r="E358" s="6" t="str">
        <f t="shared" si="13"/>
        <v>女</v>
      </c>
      <c r="F358" s="6" t="str">
        <f>"1998-12-11"</f>
        <v>1998-12-11</v>
      </c>
      <c r="G358" s="6"/>
    </row>
    <row r="359" spans="1:7" ht="30" customHeight="1">
      <c r="A359" s="6">
        <v>357</v>
      </c>
      <c r="B359" s="6" t="str">
        <f>"39212022051413324430307"</f>
        <v>39212022051413324430307</v>
      </c>
      <c r="C359" s="6" t="s">
        <v>31</v>
      </c>
      <c r="D359" s="6" t="str">
        <f>"李秋珍"</f>
        <v>李秋珍</v>
      </c>
      <c r="E359" s="6" t="str">
        <f t="shared" si="13"/>
        <v>女</v>
      </c>
      <c r="F359" s="6" t="str">
        <f>"1994-07-12"</f>
        <v>1994-07-12</v>
      </c>
      <c r="G359" s="6"/>
    </row>
    <row r="360" spans="1:7" ht="30" customHeight="1">
      <c r="A360" s="6">
        <v>358</v>
      </c>
      <c r="B360" s="6" t="str">
        <f>"39212022051413515930319"</f>
        <v>39212022051413515930319</v>
      </c>
      <c r="C360" s="6" t="s">
        <v>31</v>
      </c>
      <c r="D360" s="6" t="str">
        <f>"林香秀"</f>
        <v>林香秀</v>
      </c>
      <c r="E360" s="6" t="str">
        <f t="shared" si="13"/>
        <v>女</v>
      </c>
      <c r="F360" s="6" t="str">
        <f>"1999-10-07"</f>
        <v>1999-10-07</v>
      </c>
      <c r="G360" s="6"/>
    </row>
    <row r="361" spans="1:7" ht="30" customHeight="1">
      <c r="A361" s="6">
        <v>359</v>
      </c>
      <c r="B361" s="6" t="str">
        <f>"39212022051413523530320"</f>
        <v>39212022051413523530320</v>
      </c>
      <c r="C361" s="6" t="s">
        <v>31</v>
      </c>
      <c r="D361" s="6" t="str">
        <f>"陈月菊"</f>
        <v>陈月菊</v>
      </c>
      <c r="E361" s="6" t="str">
        <f t="shared" si="13"/>
        <v>女</v>
      </c>
      <c r="F361" s="6" t="str">
        <f>"1998-07-02"</f>
        <v>1998-07-02</v>
      </c>
      <c r="G361" s="6"/>
    </row>
    <row r="362" spans="1:7" ht="30" customHeight="1">
      <c r="A362" s="6">
        <v>360</v>
      </c>
      <c r="B362" s="6" t="str">
        <f>"39212022051413572230324"</f>
        <v>39212022051413572230324</v>
      </c>
      <c r="C362" s="6" t="s">
        <v>31</v>
      </c>
      <c r="D362" s="6" t="str">
        <f>"李慧满"</f>
        <v>李慧满</v>
      </c>
      <c r="E362" s="6" t="str">
        <f t="shared" si="13"/>
        <v>女</v>
      </c>
      <c r="F362" s="6" t="str">
        <f>"1997-02-18"</f>
        <v>1997-02-18</v>
      </c>
      <c r="G362" s="6"/>
    </row>
    <row r="363" spans="1:7" ht="30" customHeight="1">
      <c r="A363" s="6">
        <v>361</v>
      </c>
      <c r="B363" s="6" t="str">
        <f>"39212022051414093330328"</f>
        <v>39212022051414093330328</v>
      </c>
      <c r="C363" s="6" t="s">
        <v>31</v>
      </c>
      <c r="D363" s="6" t="str">
        <f>"吉淑雅"</f>
        <v>吉淑雅</v>
      </c>
      <c r="E363" s="6" t="str">
        <f t="shared" si="13"/>
        <v>女</v>
      </c>
      <c r="F363" s="6" t="str">
        <f>"1998-03-13"</f>
        <v>1998-03-13</v>
      </c>
      <c r="G363" s="6"/>
    </row>
    <row r="364" spans="1:7" ht="30" customHeight="1">
      <c r="A364" s="6">
        <v>362</v>
      </c>
      <c r="B364" s="6" t="str">
        <f>"39212022051414395530342"</f>
        <v>39212022051414395530342</v>
      </c>
      <c r="C364" s="6" t="s">
        <v>31</v>
      </c>
      <c r="D364" s="6" t="str">
        <f>"羊维彩"</f>
        <v>羊维彩</v>
      </c>
      <c r="E364" s="6" t="str">
        <f t="shared" si="13"/>
        <v>女</v>
      </c>
      <c r="F364" s="6" t="str">
        <f>"1996-05-15"</f>
        <v>1996-05-15</v>
      </c>
      <c r="G364" s="6"/>
    </row>
    <row r="365" spans="1:7" ht="30" customHeight="1">
      <c r="A365" s="6">
        <v>363</v>
      </c>
      <c r="B365" s="6" t="str">
        <f>"39212022051414515930346"</f>
        <v>39212022051414515930346</v>
      </c>
      <c r="C365" s="6" t="s">
        <v>31</v>
      </c>
      <c r="D365" s="6" t="str">
        <f>"李想"</f>
        <v>李想</v>
      </c>
      <c r="E365" s="6" t="str">
        <f t="shared" si="13"/>
        <v>女</v>
      </c>
      <c r="F365" s="6" t="str">
        <f>"1999-04-01"</f>
        <v>1999-04-01</v>
      </c>
      <c r="G365" s="6"/>
    </row>
    <row r="366" spans="1:7" ht="30" customHeight="1">
      <c r="A366" s="6">
        <v>364</v>
      </c>
      <c r="B366" s="6" t="str">
        <f>"39212022051414573330351"</f>
        <v>39212022051414573330351</v>
      </c>
      <c r="C366" s="6" t="s">
        <v>31</v>
      </c>
      <c r="D366" s="6" t="str">
        <f>"叶梦云"</f>
        <v>叶梦云</v>
      </c>
      <c r="E366" s="6" t="str">
        <f t="shared" si="13"/>
        <v>女</v>
      </c>
      <c r="F366" s="6" t="str">
        <f>"1999-10-11"</f>
        <v>1999-10-11</v>
      </c>
      <c r="G366" s="6"/>
    </row>
    <row r="367" spans="1:7" ht="30" customHeight="1">
      <c r="A367" s="6">
        <v>365</v>
      </c>
      <c r="B367" s="6" t="str">
        <f>"39212022051415062730356"</f>
        <v>39212022051415062730356</v>
      </c>
      <c r="C367" s="6" t="s">
        <v>31</v>
      </c>
      <c r="D367" s="6" t="str">
        <f>"张选英"</f>
        <v>张选英</v>
      </c>
      <c r="E367" s="6" t="str">
        <f t="shared" si="13"/>
        <v>女</v>
      </c>
      <c r="F367" s="6" t="str">
        <f>"1996-01-20"</f>
        <v>1996-01-20</v>
      </c>
      <c r="G367" s="6"/>
    </row>
    <row r="368" spans="1:7" ht="30" customHeight="1">
      <c r="A368" s="6">
        <v>366</v>
      </c>
      <c r="B368" s="6" t="str">
        <f>"39212022051416260430408"</f>
        <v>39212022051416260430408</v>
      </c>
      <c r="C368" s="6" t="s">
        <v>31</v>
      </c>
      <c r="D368" s="6" t="str">
        <f>"王恋"</f>
        <v>王恋</v>
      </c>
      <c r="E368" s="6" t="str">
        <f t="shared" si="13"/>
        <v>女</v>
      </c>
      <c r="F368" s="6" t="str">
        <f>"1998-04-01"</f>
        <v>1998-04-01</v>
      </c>
      <c r="G368" s="6"/>
    </row>
    <row r="369" spans="1:7" ht="30" customHeight="1">
      <c r="A369" s="6">
        <v>367</v>
      </c>
      <c r="B369" s="6" t="str">
        <f>"39212022051416284330410"</f>
        <v>39212022051416284330410</v>
      </c>
      <c r="C369" s="6" t="s">
        <v>31</v>
      </c>
      <c r="D369" s="6" t="str">
        <f>"夏淇涵"</f>
        <v>夏淇涵</v>
      </c>
      <c r="E369" s="6" t="str">
        <f t="shared" si="13"/>
        <v>女</v>
      </c>
      <c r="F369" s="6" t="str">
        <f>"2000-06-21"</f>
        <v>2000-06-21</v>
      </c>
      <c r="G369" s="6"/>
    </row>
    <row r="370" spans="1:7" ht="30" customHeight="1">
      <c r="A370" s="6">
        <v>368</v>
      </c>
      <c r="B370" s="6" t="str">
        <f>"39212022051418225930474"</f>
        <v>39212022051418225930474</v>
      </c>
      <c r="C370" s="6" t="s">
        <v>31</v>
      </c>
      <c r="D370" s="6" t="str">
        <f>"黄垂卒"</f>
        <v>黄垂卒</v>
      </c>
      <c r="E370" s="6" t="str">
        <f t="shared" si="13"/>
        <v>女</v>
      </c>
      <c r="F370" s="6" t="str">
        <f>"1996-05-17"</f>
        <v>1996-05-17</v>
      </c>
      <c r="G370" s="6"/>
    </row>
    <row r="371" spans="1:7" ht="30" customHeight="1">
      <c r="A371" s="6">
        <v>369</v>
      </c>
      <c r="B371" s="6" t="str">
        <f>"39212022051418575630487"</f>
        <v>39212022051418575630487</v>
      </c>
      <c r="C371" s="6" t="s">
        <v>31</v>
      </c>
      <c r="D371" s="6" t="str">
        <f>"陈小燕"</f>
        <v>陈小燕</v>
      </c>
      <c r="E371" s="6" t="str">
        <f t="shared" si="13"/>
        <v>女</v>
      </c>
      <c r="F371" s="6" t="str">
        <f>"1998-11-11"</f>
        <v>1998-11-11</v>
      </c>
      <c r="G371" s="6"/>
    </row>
    <row r="372" spans="1:7" ht="30" customHeight="1">
      <c r="A372" s="6">
        <v>370</v>
      </c>
      <c r="B372" s="6" t="str">
        <f>"39212022051419022930490"</f>
        <v>39212022051419022930490</v>
      </c>
      <c r="C372" s="6" t="s">
        <v>31</v>
      </c>
      <c r="D372" s="6" t="str">
        <f>"王晶"</f>
        <v>王晶</v>
      </c>
      <c r="E372" s="6" t="str">
        <f t="shared" si="13"/>
        <v>女</v>
      </c>
      <c r="F372" s="6" t="str">
        <f>"1999-12-04"</f>
        <v>1999-12-04</v>
      </c>
      <c r="G372" s="6"/>
    </row>
    <row r="373" spans="1:7" ht="30" customHeight="1">
      <c r="A373" s="6">
        <v>371</v>
      </c>
      <c r="B373" s="6" t="str">
        <f>"39212022051420132330523"</f>
        <v>39212022051420132330523</v>
      </c>
      <c r="C373" s="6" t="s">
        <v>31</v>
      </c>
      <c r="D373" s="6" t="str">
        <f>"陈清静"</f>
        <v>陈清静</v>
      </c>
      <c r="E373" s="6" t="str">
        <f t="shared" si="13"/>
        <v>女</v>
      </c>
      <c r="F373" s="6" t="str">
        <f>"1998-11-15"</f>
        <v>1998-11-15</v>
      </c>
      <c r="G373" s="6"/>
    </row>
    <row r="374" spans="1:7" ht="30" customHeight="1">
      <c r="A374" s="6">
        <v>372</v>
      </c>
      <c r="B374" s="6" t="str">
        <f>"39212022051420331130536"</f>
        <v>39212022051420331130536</v>
      </c>
      <c r="C374" s="6" t="s">
        <v>31</v>
      </c>
      <c r="D374" s="6" t="str">
        <f>"李颜"</f>
        <v>李颜</v>
      </c>
      <c r="E374" s="6" t="str">
        <f t="shared" si="13"/>
        <v>女</v>
      </c>
      <c r="F374" s="6" t="str">
        <f>"1997-08-08"</f>
        <v>1997-08-08</v>
      </c>
      <c r="G374" s="6"/>
    </row>
    <row r="375" spans="1:7" ht="30" customHeight="1">
      <c r="A375" s="6">
        <v>373</v>
      </c>
      <c r="B375" s="6" t="str">
        <f>"39212022051421103930554"</f>
        <v>39212022051421103930554</v>
      </c>
      <c r="C375" s="6" t="s">
        <v>31</v>
      </c>
      <c r="D375" s="6" t="str">
        <f>"吴珠敏"</f>
        <v>吴珠敏</v>
      </c>
      <c r="E375" s="6" t="str">
        <f t="shared" si="13"/>
        <v>女</v>
      </c>
      <c r="F375" s="6" t="str">
        <f>"1999-06-26"</f>
        <v>1999-06-26</v>
      </c>
      <c r="G375" s="6"/>
    </row>
    <row r="376" spans="1:7" ht="30" customHeight="1">
      <c r="A376" s="6">
        <v>374</v>
      </c>
      <c r="B376" s="6" t="str">
        <f>"39212022051422021330588"</f>
        <v>39212022051422021330588</v>
      </c>
      <c r="C376" s="6" t="s">
        <v>31</v>
      </c>
      <c r="D376" s="6" t="str">
        <f>"符晴"</f>
        <v>符晴</v>
      </c>
      <c r="E376" s="6" t="str">
        <f t="shared" si="13"/>
        <v>女</v>
      </c>
      <c r="F376" s="6" t="str">
        <f>"1998-01-20"</f>
        <v>1998-01-20</v>
      </c>
      <c r="G376" s="6"/>
    </row>
    <row r="377" spans="1:7" ht="30" customHeight="1">
      <c r="A377" s="6">
        <v>375</v>
      </c>
      <c r="B377" s="6" t="str">
        <f>"39212022051422362730605"</f>
        <v>39212022051422362730605</v>
      </c>
      <c r="C377" s="6" t="s">
        <v>31</v>
      </c>
      <c r="D377" s="6" t="str">
        <f>"黄丽慈"</f>
        <v>黄丽慈</v>
      </c>
      <c r="E377" s="6" t="str">
        <f t="shared" si="13"/>
        <v>女</v>
      </c>
      <c r="F377" s="6" t="str">
        <f>"1999-02-16"</f>
        <v>1999-02-16</v>
      </c>
      <c r="G377" s="6"/>
    </row>
    <row r="378" spans="1:7" ht="30" customHeight="1">
      <c r="A378" s="6">
        <v>376</v>
      </c>
      <c r="B378" s="6" t="str">
        <f>"39212022051422525430612"</f>
        <v>39212022051422525430612</v>
      </c>
      <c r="C378" s="6" t="s">
        <v>31</v>
      </c>
      <c r="D378" s="6" t="str">
        <f>"陈丽英"</f>
        <v>陈丽英</v>
      </c>
      <c r="E378" s="6" t="str">
        <f t="shared" si="13"/>
        <v>女</v>
      </c>
      <c r="F378" s="6" t="str">
        <f>"1998-03-01"</f>
        <v>1998-03-01</v>
      </c>
      <c r="G378" s="6"/>
    </row>
    <row r="379" spans="1:7" ht="30" customHeight="1">
      <c r="A379" s="6">
        <v>377</v>
      </c>
      <c r="B379" s="6" t="str">
        <f>"39212022051500253530633"</f>
        <v>39212022051500253530633</v>
      </c>
      <c r="C379" s="6" t="s">
        <v>31</v>
      </c>
      <c r="D379" s="6" t="str">
        <f>"杨温"</f>
        <v>杨温</v>
      </c>
      <c r="E379" s="6" t="str">
        <f t="shared" si="13"/>
        <v>女</v>
      </c>
      <c r="F379" s="6" t="str">
        <f>"1999-01-10"</f>
        <v>1999-01-10</v>
      </c>
      <c r="G379" s="6"/>
    </row>
    <row r="380" spans="1:7" ht="30" customHeight="1">
      <c r="A380" s="6">
        <v>378</v>
      </c>
      <c r="B380" s="6" t="str">
        <f>"39212022051501521930642"</f>
        <v>39212022051501521930642</v>
      </c>
      <c r="C380" s="6" t="s">
        <v>31</v>
      </c>
      <c r="D380" s="6" t="str">
        <f>"古裕莲"</f>
        <v>古裕莲</v>
      </c>
      <c r="E380" s="6" t="str">
        <f t="shared" si="13"/>
        <v>女</v>
      </c>
      <c r="F380" s="6" t="str">
        <f>"1998-08-20"</f>
        <v>1998-08-20</v>
      </c>
      <c r="G380" s="6"/>
    </row>
    <row r="381" spans="1:7" ht="30" customHeight="1">
      <c r="A381" s="6">
        <v>379</v>
      </c>
      <c r="B381" s="6" t="str">
        <f>"39212022051506462730649"</f>
        <v>39212022051506462730649</v>
      </c>
      <c r="C381" s="6" t="s">
        <v>31</v>
      </c>
      <c r="D381" s="6" t="str">
        <f>"陈颖"</f>
        <v>陈颖</v>
      </c>
      <c r="E381" s="6" t="str">
        <f t="shared" si="13"/>
        <v>女</v>
      </c>
      <c r="F381" s="6" t="str">
        <f>"1997-08-16"</f>
        <v>1997-08-16</v>
      </c>
      <c r="G381" s="6"/>
    </row>
    <row r="382" spans="1:7" ht="30" customHeight="1">
      <c r="A382" s="6">
        <v>380</v>
      </c>
      <c r="B382" s="6" t="str">
        <f>"39212022051508533230663"</f>
        <v>39212022051508533230663</v>
      </c>
      <c r="C382" s="6" t="s">
        <v>31</v>
      </c>
      <c r="D382" s="6" t="str">
        <f>"符皇女"</f>
        <v>符皇女</v>
      </c>
      <c r="E382" s="6" t="str">
        <f t="shared" si="13"/>
        <v>女</v>
      </c>
      <c r="F382" s="6" t="str">
        <f>"1995-09-04"</f>
        <v>1995-09-04</v>
      </c>
      <c r="G382" s="6"/>
    </row>
    <row r="383" spans="1:7" ht="30" customHeight="1">
      <c r="A383" s="6">
        <v>381</v>
      </c>
      <c r="B383" s="6" t="str">
        <f>"39212022051509192630675"</f>
        <v>39212022051509192630675</v>
      </c>
      <c r="C383" s="6" t="s">
        <v>31</v>
      </c>
      <c r="D383" s="6" t="str">
        <f>"王昊祎"</f>
        <v>王昊祎</v>
      </c>
      <c r="E383" s="6" t="str">
        <f>"男"</f>
        <v>男</v>
      </c>
      <c r="F383" s="6" t="str">
        <f>"1996-01-24"</f>
        <v>1996-01-24</v>
      </c>
      <c r="G383" s="6"/>
    </row>
    <row r="384" spans="1:7" ht="30" customHeight="1">
      <c r="A384" s="6">
        <v>382</v>
      </c>
      <c r="B384" s="6" t="str">
        <f>"39212022051509462130693"</f>
        <v>39212022051509462130693</v>
      </c>
      <c r="C384" s="6" t="s">
        <v>31</v>
      </c>
      <c r="D384" s="6" t="str">
        <f>"郭健雄"</f>
        <v>郭健雄</v>
      </c>
      <c r="E384" s="6" t="str">
        <f>"男"</f>
        <v>男</v>
      </c>
      <c r="F384" s="6" t="str">
        <f>"1996-05-19"</f>
        <v>1996-05-19</v>
      </c>
      <c r="G384" s="6"/>
    </row>
    <row r="385" spans="1:7" ht="30" customHeight="1">
      <c r="A385" s="6">
        <v>383</v>
      </c>
      <c r="B385" s="6" t="str">
        <f>"39212022051510214030720"</f>
        <v>39212022051510214030720</v>
      </c>
      <c r="C385" s="6" t="s">
        <v>31</v>
      </c>
      <c r="D385" s="6" t="str">
        <f>"吴艳珠"</f>
        <v>吴艳珠</v>
      </c>
      <c r="E385" s="6" t="str">
        <f>"女"</f>
        <v>女</v>
      </c>
      <c r="F385" s="6" t="str">
        <f>"1995-04-06"</f>
        <v>1995-04-06</v>
      </c>
      <c r="G385" s="6"/>
    </row>
    <row r="386" spans="1:7" ht="30" customHeight="1">
      <c r="A386" s="6">
        <v>384</v>
      </c>
      <c r="B386" s="6" t="str">
        <f>"39212022051510564430746"</f>
        <v>39212022051510564430746</v>
      </c>
      <c r="C386" s="6" t="s">
        <v>31</v>
      </c>
      <c r="D386" s="6" t="str">
        <f>"林佳娴"</f>
        <v>林佳娴</v>
      </c>
      <c r="E386" s="6" t="str">
        <f>"女"</f>
        <v>女</v>
      </c>
      <c r="F386" s="6" t="str">
        <f>"1997-11-10"</f>
        <v>1997-11-10</v>
      </c>
      <c r="G386" s="6"/>
    </row>
    <row r="387" spans="1:7" ht="30" customHeight="1">
      <c r="A387" s="6">
        <v>385</v>
      </c>
      <c r="B387" s="6" t="str">
        <f>"39212022051511130930751"</f>
        <v>39212022051511130930751</v>
      </c>
      <c r="C387" s="6" t="s">
        <v>31</v>
      </c>
      <c r="D387" s="6" t="str">
        <f>"李霞灵"</f>
        <v>李霞灵</v>
      </c>
      <c r="E387" s="6" t="str">
        <f>"女"</f>
        <v>女</v>
      </c>
      <c r="F387" s="6" t="str">
        <f>"1994-08-24"</f>
        <v>1994-08-24</v>
      </c>
      <c r="G387" s="6"/>
    </row>
    <row r="388" spans="1:7" ht="30" customHeight="1">
      <c r="A388" s="6">
        <v>386</v>
      </c>
      <c r="B388" s="6" t="str">
        <f>"39212022051512522630826"</f>
        <v>39212022051512522630826</v>
      </c>
      <c r="C388" s="6" t="s">
        <v>31</v>
      </c>
      <c r="D388" s="6" t="str">
        <f>"何丽廷"</f>
        <v>何丽廷</v>
      </c>
      <c r="E388" s="6" t="str">
        <f>"女"</f>
        <v>女</v>
      </c>
      <c r="F388" s="6" t="str">
        <f>"1994-11-03"</f>
        <v>1994-11-03</v>
      </c>
      <c r="G388" s="6"/>
    </row>
    <row r="389" spans="1:7" ht="30" customHeight="1">
      <c r="A389" s="6">
        <v>387</v>
      </c>
      <c r="B389" s="6" t="str">
        <f>"39212022051513153830838"</f>
        <v>39212022051513153830838</v>
      </c>
      <c r="C389" s="6" t="s">
        <v>31</v>
      </c>
      <c r="D389" s="6" t="str">
        <f>"罗才禹"</f>
        <v>罗才禹</v>
      </c>
      <c r="E389" s="6" t="str">
        <f>"男"</f>
        <v>男</v>
      </c>
      <c r="F389" s="6" t="str">
        <f>"1999-04-30"</f>
        <v>1999-04-30</v>
      </c>
      <c r="G389" s="6"/>
    </row>
    <row r="390" spans="1:7" ht="30" customHeight="1">
      <c r="A390" s="6">
        <v>388</v>
      </c>
      <c r="B390" s="6" t="str">
        <f>"39212022051513172930840"</f>
        <v>39212022051513172930840</v>
      </c>
      <c r="C390" s="6" t="s">
        <v>31</v>
      </c>
      <c r="D390" s="6" t="str">
        <f>"陈巧凤"</f>
        <v>陈巧凤</v>
      </c>
      <c r="E390" s="6" t="str">
        <f>"女"</f>
        <v>女</v>
      </c>
      <c r="F390" s="6" t="str">
        <f>"1999-08-10"</f>
        <v>1999-08-10</v>
      </c>
      <c r="G390" s="6"/>
    </row>
    <row r="391" spans="1:7" ht="30" customHeight="1">
      <c r="A391" s="6">
        <v>389</v>
      </c>
      <c r="B391" s="6" t="str">
        <f>"39212022051514135130875"</f>
        <v>39212022051514135130875</v>
      </c>
      <c r="C391" s="6" t="s">
        <v>31</v>
      </c>
      <c r="D391" s="6" t="str">
        <f>"李丹丹"</f>
        <v>李丹丹</v>
      </c>
      <c r="E391" s="6" t="str">
        <f>"女"</f>
        <v>女</v>
      </c>
      <c r="F391" s="6" t="str">
        <f>"1996-06-18"</f>
        <v>1996-06-18</v>
      </c>
      <c r="G391" s="6"/>
    </row>
    <row r="392" spans="1:7" ht="30" customHeight="1">
      <c r="A392" s="6">
        <v>390</v>
      </c>
      <c r="B392" s="6" t="str">
        <f>"39212022051515505830936"</f>
        <v>39212022051515505830936</v>
      </c>
      <c r="C392" s="6" t="s">
        <v>31</v>
      </c>
      <c r="D392" s="6" t="str">
        <f>"张瑞"</f>
        <v>张瑞</v>
      </c>
      <c r="E392" s="6" t="str">
        <f>"女"</f>
        <v>女</v>
      </c>
      <c r="F392" s="6" t="str">
        <f>"2000-08-08"</f>
        <v>2000-08-08</v>
      </c>
      <c r="G392" s="6"/>
    </row>
    <row r="393" spans="1:7" ht="30" customHeight="1">
      <c r="A393" s="6">
        <v>391</v>
      </c>
      <c r="B393" s="6" t="str">
        <f>"39212022051515552130941"</f>
        <v>39212022051515552130941</v>
      </c>
      <c r="C393" s="6" t="s">
        <v>31</v>
      </c>
      <c r="D393" s="6" t="str">
        <f>"吉晓璐"</f>
        <v>吉晓璐</v>
      </c>
      <c r="E393" s="6" t="str">
        <f>"女"</f>
        <v>女</v>
      </c>
      <c r="F393" s="6" t="str">
        <f>"1996-04-06"</f>
        <v>1996-04-06</v>
      </c>
      <c r="G393" s="6"/>
    </row>
    <row r="394" spans="1:7" ht="30" customHeight="1">
      <c r="A394" s="6">
        <v>392</v>
      </c>
      <c r="B394" s="6" t="str">
        <f>"39212022051516102830951"</f>
        <v>39212022051516102830951</v>
      </c>
      <c r="C394" s="6" t="s">
        <v>31</v>
      </c>
      <c r="D394" s="6" t="str">
        <f>"刘小芬"</f>
        <v>刘小芬</v>
      </c>
      <c r="E394" s="6" t="str">
        <f>"女"</f>
        <v>女</v>
      </c>
      <c r="F394" s="6" t="str">
        <f>"1996-09-04"</f>
        <v>1996-09-04</v>
      </c>
      <c r="G394" s="6"/>
    </row>
    <row r="395" spans="1:7" ht="30" customHeight="1">
      <c r="A395" s="6">
        <v>393</v>
      </c>
      <c r="B395" s="6" t="str">
        <f>"39212022051516455430979"</f>
        <v>39212022051516455430979</v>
      </c>
      <c r="C395" s="6" t="s">
        <v>31</v>
      </c>
      <c r="D395" s="6" t="str">
        <f>"赖成川"</f>
        <v>赖成川</v>
      </c>
      <c r="E395" s="6" t="str">
        <f>"男"</f>
        <v>男</v>
      </c>
      <c r="F395" s="6" t="str">
        <f>"1997-12-26"</f>
        <v>1997-12-26</v>
      </c>
      <c r="G395" s="6"/>
    </row>
    <row r="396" spans="1:7" ht="30" customHeight="1">
      <c r="A396" s="6">
        <v>394</v>
      </c>
      <c r="B396" s="6" t="str">
        <f>"39212022051516585530990"</f>
        <v>39212022051516585530990</v>
      </c>
      <c r="C396" s="6" t="s">
        <v>31</v>
      </c>
      <c r="D396" s="6" t="str">
        <f>"钟丹萍"</f>
        <v>钟丹萍</v>
      </c>
      <c r="E396" s="6" t="str">
        <f aca="true" t="shared" si="14" ref="E396:E450">"女"</f>
        <v>女</v>
      </c>
      <c r="F396" s="6" t="str">
        <f>"1996-04-06"</f>
        <v>1996-04-06</v>
      </c>
      <c r="G396" s="6"/>
    </row>
    <row r="397" spans="1:7" ht="30" customHeight="1">
      <c r="A397" s="6">
        <v>395</v>
      </c>
      <c r="B397" s="6" t="str">
        <f>"39212022051517232431007"</f>
        <v>39212022051517232431007</v>
      </c>
      <c r="C397" s="6" t="s">
        <v>31</v>
      </c>
      <c r="D397" s="6" t="str">
        <f>"罗丹"</f>
        <v>罗丹</v>
      </c>
      <c r="E397" s="6" t="str">
        <f t="shared" si="14"/>
        <v>女</v>
      </c>
      <c r="F397" s="6" t="str">
        <f>"1997-07-16"</f>
        <v>1997-07-16</v>
      </c>
      <c r="G397" s="6"/>
    </row>
    <row r="398" spans="1:7" ht="30" customHeight="1">
      <c r="A398" s="6">
        <v>396</v>
      </c>
      <c r="B398" s="6" t="str">
        <f>"39212022051517374331015"</f>
        <v>39212022051517374331015</v>
      </c>
      <c r="C398" s="6" t="s">
        <v>31</v>
      </c>
      <c r="D398" s="6" t="str">
        <f>"陈少晓"</f>
        <v>陈少晓</v>
      </c>
      <c r="E398" s="6" t="str">
        <f t="shared" si="14"/>
        <v>女</v>
      </c>
      <c r="F398" s="6" t="str">
        <f>"1999-10-20"</f>
        <v>1999-10-20</v>
      </c>
      <c r="G398" s="6"/>
    </row>
    <row r="399" spans="1:7" ht="30" customHeight="1">
      <c r="A399" s="6">
        <v>397</v>
      </c>
      <c r="B399" s="6" t="str">
        <f>"39212022051518351231057"</f>
        <v>39212022051518351231057</v>
      </c>
      <c r="C399" s="6" t="s">
        <v>31</v>
      </c>
      <c r="D399" s="6" t="str">
        <f>"胡小烨"</f>
        <v>胡小烨</v>
      </c>
      <c r="E399" s="6" t="str">
        <f t="shared" si="14"/>
        <v>女</v>
      </c>
      <c r="F399" s="6" t="str">
        <f>"1998-11-21"</f>
        <v>1998-11-21</v>
      </c>
      <c r="G399" s="6"/>
    </row>
    <row r="400" spans="1:7" ht="30" customHeight="1">
      <c r="A400" s="6">
        <v>398</v>
      </c>
      <c r="B400" s="6" t="str">
        <f>"39212022051519290331088"</f>
        <v>39212022051519290331088</v>
      </c>
      <c r="C400" s="6" t="s">
        <v>31</v>
      </c>
      <c r="D400" s="6" t="str">
        <f>"吴光阳"</f>
        <v>吴光阳</v>
      </c>
      <c r="E400" s="6" t="str">
        <f t="shared" si="14"/>
        <v>女</v>
      </c>
      <c r="F400" s="7">
        <v>35297</v>
      </c>
      <c r="G400" s="6"/>
    </row>
    <row r="401" spans="1:7" ht="30" customHeight="1">
      <c r="A401" s="6">
        <v>399</v>
      </c>
      <c r="B401" s="6" t="str">
        <f>"39212022051520165531112"</f>
        <v>39212022051520165531112</v>
      </c>
      <c r="C401" s="6" t="s">
        <v>31</v>
      </c>
      <c r="D401" s="6" t="str">
        <f>"李心欣"</f>
        <v>李心欣</v>
      </c>
      <c r="E401" s="6" t="str">
        <f t="shared" si="14"/>
        <v>女</v>
      </c>
      <c r="F401" s="6" t="str">
        <f>"2001-05-29"</f>
        <v>2001-05-29</v>
      </c>
      <c r="G401" s="6"/>
    </row>
    <row r="402" spans="1:7" ht="30" customHeight="1">
      <c r="A402" s="6">
        <v>400</v>
      </c>
      <c r="B402" s="6" t="str">
        <f>"39212022051520331331126"</f>
        <v>39212022051520331331126</v>
      </c>
      <c r="C402" s="6" t="s">
        <v>31</v>
      </c>
      <c r="D402" s="6" t="str">
        <f>"陈太春"</f>
        <v>陈太春</v>
      </c>
      <c r="E402" s="6" t="str">
        <f t="shared" si="14"/>
        <v>女</v>
      </c>
      <c r="F402" s="6" t="str">
        <f>"1999-11-22"</f>
        <v>1999-11-22</v>
      </c>
      <c r="G402" s="6"/>
    </row>
    <row r="403" spans="1:7" ht="30" customHeight="1">
      <c r="A403" s="6">
        <v>401</v>
      </c>
      <c r="B403" s="6" t="str">
        <f>"39212022051521032431148"</f>
        <v>39212022051521032431148</v>
      </c>
      <c r="C403" s="6" t="s">
        <v>31</v>
      </c>
      <c r="D403" s="6" t="str">
        <f>"陈蓉蓉"</f>
        <v>陈蓉蓉</v>
      </c>
      <c r="E403" s="6" t="str">
        <f t="shared" si="14"/>
        <v>女</v>
      </c>
      <c r="F403" s="6" t="str">
        <f>"1998-05-06"</f>
        <v>1998-05-06</v>
      </c>
      <c r="G403" s="6"/>
    </row>
    <row r="404" spans="1:7" ht="30" customHeight="1">
      <c r="A404" s="6">
        <v>402</v>
      </c>
      <c r="B404" s="6" t="str">
        <f>"39212022051521094531155"</f>
        <v>39212022051521094531155</v>
      </c>
      <c r="C404" s="6" t="s">
        <v>31</v>
      </c>
      <c r="D404" s="6" t="str">
        <f>"陈石岭"</f>
        <v>陈石岭</v>
      </c>
      <c r="E404" s="6" t="str">
        <f t="shared" si="14"/>
        <v>女</v>
      </c>
      <c r="F404" s="6" t="str">
        <f>"2001-06-06"</f>
        <v>2001-06-06</v>
      </c>
      <c r="G404" s="6"/>
    </row>
    <row r="405" spans="1:7" ht="30" customHeight="1">
      <c r="A405" s="6">
        <v>403</v>
      </c>
      <c r="B405" s="6" t="str">
        <f>"39212022051521263431169"</f>
        <v>39212022051521263431169</v>
      </c>
      <c r="C405" s="6" t="s">
        <v>31</v>
      </c>
      <c r="D405" s="6" t="str">
        <f>"郑胜姣"</f>
        <v>郑胜姣</v>
      </c>
      <c r="E405" s="6" t="str">
        <f t="shared" si="14"/>
        <v>女</v>
      </c>
      <c r="F405" s="6" t="str">
        <f>"1997-01-03"</f>
        <v>1997-01-03</v>
      </c>
      <c r="G405" s="6"/>
    </row>
    <row r="406" spans="1:7" ht="30" customHeight="1">
      <c r="A406" s="6">
        <v>404</v>
      </c>
      <c r="B406" s="6" t="str">
        <f>"39212022051522362231212"</f>
        <v>39212022051522362231212</v>
      </c>
      <c r="C406" s="6" t="s">
        <v>31</v>
      </c>
      <c r="D406" s="6" t="str">
        <f>"吴钟芬"</f>
        <v>吴钟芬</v>
      </c>
      <c r="E406" s="6" t="str">
        <f t="shared" si="14"/>
        <v>女</v>
      </c>
      <c r="F406" s="6" t="str">
        <f>"1997-01-10"</f>
        <v>1997-01-10</v>
      </c>
      <c r="G406" s="6"/>
    </row>
    <row r="407" spans="1:7" ht="30" customHeight="1">
      <c r="A407" s="6">
        <v>405</v>
      </c>
      <c r="B407" s="6" t="str">
        <f>"39212022051523114231235"</f>
        <v>39212022051523114231235</v>
      </c>
      <c r="C407" s="6" t="s">
        <v>31</v>
      </c>
      <c r="D407" s="6" t="str">
        <f>"周春"</f>
        <v>周春</v>
      </c>
      <c r="E407" s="6" t="str">
        <f t="shared" si="14"/>
        <v>女</v>
      </c>
      <c r="F407" s="6" t="str">
        <f>"1997-09-21"</f>
        <v>1997-09-21</v>
      </c>
      <c r="G407" s="6"/>
    </row>
    <row r="408" spans="1:7" ht="30" customHeight="1">
      <c r="A408" s="6">
        <v>406</v>
      </c>
      <c r="B408" s="6" t="str">
        <f>"39212022051608243631291"</f>
        <v>39212022051608243631291</v>
      </c>
      <c r="C408" s="6" t="s">
        <v>31</v>
      </c>
      <c r="D408" s="6" t="str">
        <f>"苏丽奕"</f>
        <v>苏丽奕</v>
      </c>
      <c r="E408" s="6" t="str">
        <f t="shared" si="14"/>
        <v>女</v>
      </c>
      <c r="F408" s="6" t="str">
        <f>"1997-04-04"</f>
        <v>1997-04-04</v>
      </c>
      <c r="G408" s="6"/>
    </row>
    <row r="409" spans="1:7" ht="30" customHeight="1">
      <c r="A409" s="6">
        <v>407</v>
      </c>
      <c r="B409" s="6" t="str">
        <f>"39212022051608280431295"</f>
        <v>39212022051608280431295</v>
      </c>
      <c r="C409" s="6" t="s">
        <v>31</v>
      </c>
      <c r="D409" s="6" t="str">
        <f>"王宝珊"</f>
        <v>王宝珊</v>
      </c>
      <c r="E409" s="6" t="str">
        <f t="shared" si="14"/>
        <v>女</v>
      </c>
      <c r="F409" s="6" t="str">
        <f>"2000-11-10"</f>
        <v>2000-11-10</v>
      </c>
      <c r="G409" s="6"/>
    </row>
    <row r="410" spans="1:7" ht="30" customHeight="1">
      <c r="A410" s="6">
        <v>408</v>
      </c>
      <c r="B410" s="6" t="str">
        <f>"39212022051609134531367"</f>
        <v>39212022051609134531367</v>
      </c>
      <c r="C410" s="6" t="s">
        <v>31</v>
      </c>
      <c r="D410" s="6" t="str">
        <f>"林水江"</f>
        <v>林水江</v>
      </c>
      <c r="E410" s="6" t="str">
        <f t="shared" si="14"/>
        <v>女</v>
      </c>
      <c r="F410" s="6" t="str">
        <f>"1999-06-24"</f>
        <v>1999-06-24</v>
      </c>
      <c r="G410" s="6"/>
    </row>
    <row r="411" spans="1:7" ht="30" customHeight="1">
      <c r="A411" s="6">
        <v>409</v>
      </c>
      <c r="B411" s="6" t="str">
        <f>"39212022051610161131488"</f>
        <v>39212022051610161131488</v>
      </c>
      <c r="C411" s="6" t="s">
        <v>31</v>
      </c>
      <c r="D411" s="6" t="str">
        <f>"陈根"</f>
        <v>陈根</v>
      </c>
      <c r="E411" s="6" t="str">
        <f t="shared" si="14"/>
        <v>女</v>
      </c>
      <c r="F411" s="6" t="str">
        <f>"2002-10-26"</f>
        <v>2002-10-26</v>
      </c>
      <c r="G411" s="6"/>
    </row>
    <row r="412" spans="1:7" ht="30" customHeight="1">
      <c r="A412" s="6">
        <v>410</v>
      </c>
      <c r="B412" s="6" t="str">
        <f>"39212022051610192231497"</f>
        <v>39212022051610192231497</v>
      </c>
      <c r="C412" s="6" t="s">
        <v>31</v>
      </c>
      <c r="D412" s="6" t="str">
        <f>"刘金凤"</f>
        <v>刘金凤</v>
      </c>
      <c r="E412" s="6" t="str">
        <f t="shared" si="14"/>
        <v>女</v>
      </c>
      <c r="F412" s="6" t="str">
        <f>"2000-10-16"</f>
        <v>2000-10-16</v>
      </c>
      <c r="G412" s="6"/>
    </row>
    <row r="413" spans="1:7" ht="30" customHeight="1">
      <c r="A413" s="6">
        <v>411</v>
      </c>
      <c r="B413" s="6" t="str">
        <f>"39212022051610244531511"</f>
        <v>39212022051610244531511</v>
      </c>
      <c r="C413" s="6" t="s">
        <v>31</v>
      </c>
      <c r="D413" s="6" t="str">
        <f>"吴倪"</f>
        <v>吴倪</v>
      </c>
      <c r="E413" s="6" t="str">
        <f t="shared" si="14"/>
        <v>女</v>
      </c>
      <c r="F413" s="6" t="str">
        <f>"2002-10-06"</f>
        <v>2002-10-06</v>
      </c>
      <c r="G413" s="6"/>
    </row>
    <row r="414" spans="1:7" ht="30" customHeight="1">
      <c r="A414" s="6">
        <v>412</v>
      </c>
      <c r="B414" s="6" t="str">
        <f>"39212022051610270831517"</f>
        <v>39212022051610270831517</v>
      </c>
      <c r="C414" s="6" t="s">
        <v>31</v>
      </c>
      <c r="D414" s="6" t="str">
        <f>"蔡紫"</f>
        <v>蔡紫</v>
      </c>
      <c r="E414" s="6" t="str">
        <f t="shared" si="14"/>
        <v>女</v>
      </c>
      <c r="F414" s="6" t="str">
        <f>"1993-11-19"</f>
        <v>1993-11-19</v>
      </c>
      <c r="G414" s="6"/>
    </row>
    <row r="415" spans="1:7" ht="30" customHeight="1">
      <c r="A415" s="6">
        <v>413</v>
      </c>
      <c r="B415" s="6" t="str">
        <f>"39212022051611053631591"</f>
        <v>39212022051611053631591</v>
      </c>
      <c r="C415" s="6" t="s">
        <v>31</v>
      </c>
      <c r="D415" s="6" t="str">
        <f>"陈小女"</f>
        <v>陈小女</v>
      </c>
      <c r="E415" s="6" t="str">
        <f t="shared" si="14"/>
        <v>女</v>
      </c>
      <c r="F415" s="6" t="str">
        <f>"2000-02-05"</f>
        <v>2000-02-05</v>
      </c>
      <c r="G415" s="6"/>
    </row>
    <row r="416" spans="1:7" ht="30" customHeight="1">
      <c r="A416" s="6">
        <v>414</v>
      </c>
      <c r="B416" s="6" t="str">
        <f>"39212022051611285831624"</f>
        <v>39212022051611285831624</v>
      </c>
      <c r="C416" s="6" t="s">
        <v>31</v>
      </c>
      <c r="D416" s="6" t="str">
        <f>"陈永莹"</f>
        <v>陈永莹</v>
      </c>
      <c r="E416" s="6" t="str">
        <f t="shared" si="14"/>
        <v>女</v>
      </c>
      <c r="F416" s="6" t="str">
        <f>"1993-10-10"</f>
        <v>1993-10-10</v>
      </c>
      <c r="G416" s="6"/>
    </row>
    <row r="417" spans="1:7" ht="30" customHeight="1">
      <c r="A417" s="6">
        <v>415</v>
      </c>
      <c r="B417" s="6" t="str">
        <f>"39212022051611333631630"</f>
        <v>39212022051611333631630</v>
      </c>
      <c r="C417" s="6" t="s">
        <v>31</v>
      </c>
      <c r="D417" s="6" t="str">
        <f>"罗巧"</f>
        <v>罗巧</v>
      </c>
      <c r="E417" s="6" t="str">
        <f t="shared" si="14"/>
        <v>女</v>
      </c>
      <c r="F417" s="6" t="str">
        <f>"1995-07-13"</f>
        <v>1995-07-13</v>
      </c>
      <c r="G417" s="6"/>
    </row>
    <row r="418" spans="1:7" ht="30" customHeight="1">
      <c r="A418" s="6">
        <v>416</v>
      </c>
      <c r="B418" s="6" t="str">
        <f>"39212022051611530031653"</f>
        <v>39212022051611530031653</v>
      </c>
      <c r="C418" s="6" t="s">
        <v>31</v>
      </c>
      <c r="D418" s="6" t="str">
        <f>"麦春娇"</f>
        <v>麦春娇</v>
      </c>
      <c r="E418" s="6" t="str">
        <f t="shared" si="14"/>
        <v>女</v>
      </c>
      <c r="F418" s="6" t="str">
        <f>"2001-07-30"</f>
        <v>2001-07-30</v>
      </c>
      <c r="G418" s="6"/>
    </row>
    <row r="419" spans="1:7" ht="30" customHeight="1">
      <c r="A419" s="6">
        <v>417</v>
      </c>
      <c r="B419" s="6" t="str">
        <f>"39212022051611583131667"</f>
        <v>39212022051611583131667</v>
      </c>
      <c r="C419" s="6" t="s">
        <v>31</v>
      </c>
      <c r="D419" s="6" t="str">
        <f>"林雅颖"</f>
        <v>林雅颖</v>
      </c>
      <c r="E419" s="6" t="str">
        <f t="shared" si="14"/>
        <v>女</v>
      </c>
      <c r="F419" s="6" t="str">
        <f>"1999-08-04"</f>
        <v>1999-08-04</v>
      </c>
      <c r="G419" s="6"/>
    </row>
    <row r="420" spans="1:7" ht="30" customHeight="1">
      <c r="A420" s="6">
        <v>418</v>
      </c>
      <c r="B420" s="6" t="str">
        <f>"39212022051613175031759"</f>
        <v>39212022051613175031759</v>
      </c>
      <c r="C420" s="6" t="s">
        <v>31</v>
      </c>
      <c r="D420" s="6" t="str">
        <f>"邓奇艳"</f>
        <v>邓奇艳</v>
      </c>
      <c r="E420" s="6" t="str">
        <f t="shared" si="14"/>
        <v>女</v>
      </c>
      <c r="F420" s="6" t="str">
        <f>"1999-09-09"</f>
        <v>1999-09-09</v>
      </c>
      <c r="G420" s="6"/>
    </row>
    <row r="421" spans="1:7" ht="30" customHeight="1">
      <c r="A421" s="6">
        <v>419</v>
      </c>
      <c r="B421" s="6" t="str">
        <f>"39212022051613330231771"</f>
        <v>39212022051613330231771</v>
      </c>
      <c r="C421" s="6" t="s">
        <v>31</v>
      </c>
      <c r="D421" s="6" t="str">
        <f>"黄玉芸"</f>
        <v>黄玉芸</v>
      </c>
      <c r="E421" s="6" t="str">
        <f t="shared" si="14"/>
        <v>女</v>
      </c>
      <c r="F421" s="6" t="str">
        <f>"2000-01-30"</f>
        <v>2000-01-30</v>
      </c>
      <c r="G421" s="6"/>
    </row>
    <row r="422" spans="1:7" ht="30" customHeight="1">
      <c r="A422" s="6">
        <v>420</v>
      </c>
      <c r="B422" s="6" t="str">
        <f>"39212022051613335531775"</f>
        <v>39212022051613335531775</v>
      </c>
      <c r="C422" s="6" t="s">
        <v>31</v>
      </c>
      <c r="D422" s="6" t="str">
        <f>"邢丽娜"</f>
        <v>邢丽娜</v>
      </c>
      <c r="E422" s="6" t="str">
        <f t="shared" si="14"/>
        <v>女</v>
      </c>
      <c r="F422" s="6" t="str">
        <f>"1998-11-02"</f>
        <v>1998-11-02</v>
      </c>
      <c r="G422" s="6"/>
    </row>
    <row r="423" spans="1:7" ht="30" customHeight="1">
      <c r="A423" s="6">
        <v>421</v>
      </c>
      <c r="B423" s="6" t="str">
        <f>"39212022051614523431829"</f>
        <v>39212022051614523431829</v>
      </c>
      <c r="C423" s="6" t="s">
        <v>31</v>
      </c>
      <c r="D423" s="6" t="str">
        <f>"林溪"</f>
        <v>林溪</v>
      </c>
      <c r="E423" s="6" t="str">
        <f t="shared" si="14"/>
        <v>女</v>
      </c>
      <c r="F423" s="6" t="str">
        <f>"2001-09-29"</f>
        <v>2001-09-29</v>
      </c>
      <c r="G423" s="6"/>
    </row>
    <row r="424" spans="1:7" ht="30" customHeight="1">
      <c r="A424" s="6">
        <v>422</v>
      </c>
      <c r="B424" s="6" t="str">
        <f>"39212022051615203731871"</f>
        <v>39212022051615203731871</v>
      </c>
      <c r="C424" s="6" t="s">
        <v>31</v>
      </c>
      <c r="D424" s="6" t="str">
        <f>"林珍芸"</f>
        <v>林珍芸</v>
      </c>
      <c r="E424" s="6" t="str">
        <f t="shared" si="14"/>
        <v>女</v>
      </c>
      <c r="F424" s="6" t="str">
        <f>"1998-11-30"</f>
        <v>1998-11-30</v>
      </c>
      <c r="G424" s="6"/>
    </row>
    <row r="425" spans="1:7" ht="30" customHeight="1">
      <c r="A425" s="6">
        <v>423</v>
      </c>
      <c r="B425" s="6" t="str">
        <f>"39212022051615395931907"</f>
        <v>39212022051615395931907</v>
      </c>
      <c r="C425" s="6" t="s">
        <v>31</v>
      </c>
      <c r="D425" s="6" t="str">
        <f>"黎霜霜"</f>
        <v>黎霜霜</v>
      </c>
      <c r="E425" s="6" t="str">
        <f t="shared" si="14"/>
        <v>女</v>
      </c>
      <c r="F425" s="6" t="str">
        <f>"1995-09-02"</f>
        <v>1995-09-02</v>
      </c>
      <c r="G425" s="6"/>
    </row>
    <row r="426" spans="1:7" ht="30" customHeight="1">
      <c r="A426" s="6">
        <v>424</v>
      </c>
      <c r="B426" s="6" t="str">
        <f>"39212022051615423631912"</f>
        <v>39212022051615423631912</v>
      </c>
      <c r="C426" s="6" t="s">
        <v>31</v>
      </c>
      <c r="D426" s="6" t="str">
        <f>"朱秀对"</f>
        <v>朱秀对</v>
      </c>
      <c r="E426" s="6" t="str">
        <f t="shared" si="14"/>
        <v>女</v>
      </c>
      <c r="F426" s="6" t="str">
        <f>"1998-11-17"</f>
        <v>1998-11-17</v>
      </c>
      <c r="G426" s="6"/>
    </row>
    <row r="427" spans="1:7" ht="30" customHeight="1">
      <c r="A427" s="6">
        <v>425</v>
      </c>
      <c r="B427" s="6" t="str">
        <f>"39212022051615491031941"</f>
        <v>39212022051615491031941</v>
      </c>
      <c r="C427" s="6" t="s">
        <v>31</v>
      </c>
      <c r="D427" s="6" t="str">
        <f>"纪若琳"</f>
        <v>纪若琳</v>
      </c>
      <c r="E427" s="6" t="str">
        <f t="shared" si="14"/>
        <v>女</v>
      </c>
      <c r="F427" s="6" t="str">
        <f>"1998-05-01"</f>
        <v>1998-05-01</v>
      </c>
      <c r="G427" s="6"/>
    </row>
    <row r="428" spans="1:7" ht="30" customHeight="1">
      <c r="A428" s="6">
        <v>426</v>
      </c>
      <c r="B428" s="6" t="str">
        <f>"39212022051615524631968"</f>
        <v>39212022051615524631968</v>
      </c>
      <c r="C428" s="6" t="s">
        <v>31</v>
      </c>
      <c r="D428" s="6" t="str">
        <f>"符妹珍"</f>
        <v>符妹珍</v>
      </c>
      <c r="E428" s="6" t="str">
        <f t="shared" si="14"/>
        <v>女</v>
      </c>
      <c r="F428" s="6" t="str">
        <f>"1998-04-14"</f>
        <v>1998-04-14</v>
      </c>
      <c r="G428" s="6"/>
    </row>
    <row r="429" spans="1:7" ht="30" customHeight="1">
      <c r="A429" s="6">
        <v>427</v>
      </c>
      <c r="B429" s="6" t="str">
        <f>"39212022051616110432107"</f>
        <v>39212022051616110432107</v>
      </c>
      <c r="C429" s="6" t="s">
        <v>31</v>
      </c>
      <c r="D429" s="6" t="str">
        <f>"符蓉"</f>
        <v>符蓉</v>
      </c>
      <c r="E429" s="6" t="str">
        <f t="shared" si="14"/>
        <v>女</v>
      </c>
      <c r="F429" s="6" t="str">
        <f>"1999-09-07"</f>
        <v>1999-09-07</v>
      </c>
      <c r="G429" s="6"/>
    </row>
    <row r="430" spans="1:7" ht="30" customHeight="1">
      <c r="A430" s="6">
        <v>428</v>
      </c>
      <c r="B430" s="6" t="str">
        <f>"39212022051616184932167"</f>
        <v>39212022051616184932167</v>
      </c>
      <c r="C430" s="6" t="s">
        <v>31</v>
      </c>
      <c r="D430" s="6" t="str">
        <f>"夏梅"</f>
        <v>夏梅</v>
      </c>
      <c r="E430" s="6" t="str">
        <f t="shared" si="14"/>
        <v>女</v>
      </c>
      <c r="F430" s="6" t="str">
        <f>"1998-02-09"</f>
        <v>1998-02-09</v>
      </c>
      <c r="G430" s="6"/>
    </row>
    <row r="431" spans="1:7" ht="30" customHeight="1">
      <c r="A431" s="6">
        <v>429</v>
      </c>
      <c r="B431" s="6" t="str">
        <f>"39212022051616292032235"</f>
        <v>39212022051616292032235</v>
      </c>
      <c r="C431" s="6" t="s">
        <v>31</v>
      </c>
      <c r="D431" s="6" t="str">
        <f>"陈丽霞"</f>
        <v>陈丽霞</v>
      </c>
      <c r="E431" s="6" t="str">
        <f t="shared" si="14"/>
        <v>女</v>
      </c>
      <c r="F431" s="6" t="str">
        <f>"1998-09-02"</f>
        <v>1998-09-02</v>
      </c>
      <c r="G431" s="6"/>
    </row>
    <row r="432" spans="1:7" ht="30" customHeight="1">
      <c r="A432" s="6">
        <v>430</v>
      </c>
      <c r="B432" s="6" t="str">
        <f>"39212022051616404432299"</f>
        <v>39212022051616404432299</v>
      </c>
      <c r="C432" s="6" t="s">
        <v>31</v>
      </c>
      <c r="D432" s="6" t="str">
        <f>"杨家雯"</f>
        <v>杨家雯</v>
      </c>
      <c r="E432" s="6" t="str">
        <f t="shared" si="14"/>
        <v>女</v>
      </c>
      <c r="F432" s="6" t="str">
        <f>"1997-07-16"</f>
        <v>1997-07-16</v>
      </c>
      <c r="G432" s="6"/>
    </row>
    <row r="433" spans="1:7" ht="30" customHeight="1">
      <c r="A433" s="6">
        <v>431</v>
      </c>
      <c r="B433" s="6" t="str">
        <f>"39212022051616414432307"</f>
        <v>39212022051616414432307</v>
      </c>
      <c r="C433" s="6" t="s">
        <v>31</v>
      </c>
      <c r="D433" s="6" t="str">
        <f>"陈颖"</f>
        <v>陈颖</v>
      </c>
      <c r="E433" s="6" t="str">
        <f t="shared" si="14"/>
        <v>女</v>
      </c>
      <c r="F433" s="6" t="str">
        <f>"1997-06-14"</f>
        <v>1997-06-14</v>
      </c>
      <c r="G433" s="6"/>
    </row>
    <row r="434" spans="1:7" ht="30" customHeight="1">
      <c r="A434" s="6">
        <v>432</v>
      </c>
      <c r="B434" s="6" t="str">
        <f>"39212022051616591332381"</f>
        <v>39212022051616591332381</v>
      </c>
      <c r="C434" s="6" t="s">
        <v>31</v>
      </c>
      <c r="D434" s="6" t="str">
        <f>"黄蓉慧"</f>
        <v>黄蓉慧</v>
      </c>
      <c r="E434" s="6" t="str">
        <f t="shared" si="14"/>
        <v>女</v>
      </c>
      <c r="F434" s="6" t="str">
        <f>"1999-02-05"</f>
        <v>1999-02-05</v>
      </c>
      <c r="G434" s="6"/>
    </row>
    <row r="435" spans="1:7" ht="30" customHeight="1">
      <c r="A435" s="6">
        <v>433</v>
      </c>
      <c r="B435" s="6" t="str">
        <f>"39212022051617062032411"</f>
        <v>39212022051617062032411</v>
      </c>
      <c r="C435" s="6" t="s">
        <v>31</v>
      </c>
      <c r="D435" s="6" t="str">
        <f>"许金兰"</f>
        <v>许金兰</v>
      </c>
      <c r="E435" s="6" t="str">
        <f t="shared" si="14"/>
        <v>女</v>
      </c>
      <c r="F435" s="6" t="str">
        <f>"1999-02-10"</f>
        <v>1999-02-10</v>
      </c>
      <c r="G435" s="6"/>
    </row>
    <row r="436" spans="1:7" ht="30" customHeight="1">
      <c r="A436" s="6">
        <v>434</v>
      </c>
      <c r="B436" s="6" t="str">
        <f>"39212022051617200332447"</f>
        <v>39212022051617200332447</v>
      </c>
      <c r="C436" s="6" t="s">
        <v>31</v>
      </c>
      <c r="D436" s="6" t="str">
        <f>"韦全和"</f>
        <v>韦全和</v>
      </c>
      <c r="E436" s="6" t="str">
        <f t="shared" si="14"/>
        <v>女</v>
      </c>
      <c r="F436" s="6" t="str">
        <f>"1998-09-30"</f>
        <v>1998-09-30</v>
      </c>
      <c r="G436" s="6"/>
    </row>
    <row r="437" spans="1:7" ht="30" customHeight="1">
      <c r="A437" s="6">
        <v>435</v>
      </c>
      <c r="B437" s="6" t="str">
        <f>"39212022051617443132474"</f>
        <v>39212022051617443132474</v>
      </c>
      <c r="C437" s="6" t="s">
        <v>31</v>
      </c>
      <c r="D437" s="6" t="str">
        <f>"莫陈曦"</f>
        <v>莫陈曦</v>
      </c>
      <c r="E437" s="6" t="str">
        <f t="shared" si="14"/>
        <v>女</v>
      </c>
      <c r="F437" s="6" t="str">
        <f>"1997-01-14"</f>
        <v>1997-01-14</v>
      </c>
      <c r="G437" s="6"/>
    </row>
    <row r="438" spans="1:7" ht="30" customHeight="1">
      <c r="A438" s="6">
        <v>436</v>
      </c>
      <c r="B438" s="6" t="str">
        <f>"39212022051617492832478"</f>
        <v>39212022051617492832478</v>
      </c>
      <c r="C438" s="6" t="s">
        <v>31</v>
      </c>
      <c r="D438" s="6" t="str">
        <f>"冼小迎"</f>
        <v>冼小迎</v>
      </c>
      <c r="E438" s="6" t="str">
        <f t="shared" si="14"/>
        <v>女</v>
      </c>
      <c r="F438" s="6" t="str">
        <f>"1998-07-12"</f>
        <v>1998-07-12</v>
      </c>
      <c r="G438" s="6"/>
    </row>
    <row r="439" spans="1:7" ht="30" customHeight="1">
      <c r="A439" s="6">
        <v>437</v>
      </c>
      <c r="B439" s="6" t="str">
        <f>"39212022051618213932529"</f>
        <v>39212022051618213932529</v>
      </c>
      <c r="C439" s="6" t="s">
        <v>31</v>
      </c>
      <c r="D439" s="6" t="str">
        <f>"潘德伦"</f>
        <v>潘德伦</v>
      </c>
      <c r="E439" s="6" t="str">
        <f t="shared" si="14"/>
        <v>女</v>
      </c>
      <c r="F439" s="6" t="str">
        <f>"1993-09-04"</f>
        <v>1993-09-04</v>
      </c>
      <c r="G439" s="6"/>
    </row>
    <row r="440" spans="1:7" ht="30" customHeight="1">
      <c r="A440" s="6">
        <v>438</v>
      </c>
      <c r="B440" s="6" t="str">
        <f>"39212022051618472132554"</f>
        <v>39212022051618472132554</v>
      </c>
      <c r="C440" s="6" t="s">
        <v>31</v>
      </c>
      <c r="D440" s="6" t="str">
        <f>"陈宛秋"</f>
        <v>陈宛秋</v>
      </c>
      <c r="E440" s="6" t="str">
        <f t="shared" si="14"/>
        <v>女</v>
      </c>
      <c r="F440" s="6" t="str">
        <f>"1997-05-26"</f>
        <v>1997-05-26</v>
      </c>
      <c r="G440" s="6"/>
    </row>
    <row r="441" spans="1:7" ht="30" customHeight="1">
      <c r="A441" s="6">
        <v>439</v>
      </c>
      <c r="B441" s="6" t="str">
        <f>"39212022051619010532570"</f>
        <v>39212022051619010532570</v>
      </c>
      <c r="C441" s="6" t="s">
        <v>31</v>
      </c>
      <c r="D441" s="6" t="str">
        <f>"张春花"</f>
        <v>张春花</v>
      </c>
      <c r="E441" s="6" t="str">
        <f t="shared" si="14"/>
        <v>女</v>
      </c>
      <c r="F441" s="6" t="str">
        <f>"1999-02-10"</f>
        <v>1999-02-10</v>
      </c>
      <c r="G441" s="6"/>
    </row>
    <row r="442" spans="1:7" ht="30" customHeight="1">
      <c r="A442" s="6">
        <v>440</v>
      </c>
      <c r="B442" s="6" t="str">
        <f>"39212022051619430732633"</f>
        <v>39212022051619430732633</v>
      </c>
      <c r="C442" s="6" t="s">
        <v>31</v>
      </c>
      <c r="D442" s="6" t="str">
        <f>"岑小眯"</f>
        <v>岑小眯</v>
      </c>
      <c r="E442" s="6" t="str">
        <f t="shared" si="14"/>
        <v>女</v>
      </c>
      <c r="F442" s="6" t="str">
        <f>"1998-10-05"</f>
        <v>1998-10-05</v>
      </c>
      <c r="G442" s="6"/>
    </row>
    <row r="443" spans="1:7" ht="30" customHeight="1">
      <c r="A443" s="6">
        <v>441</v>
      </c>
      <c r="B443" s="6" t="str">
        <f>"39212022051619445032635"</f>
        <v>39212022051619445032635</v>
      </c>
      <c r="C443" s="6" t="s">
        <v>31</v>
      </c>
      <c r="D443" s="6" t="str">
        <f>"朱允萱"</f>
        <v>朱允萱</v>
      </c>
      <c r="E443" s="6" t="str">
        <f t="shared" si="14"/>
        <v>女</v>
      </c>
      <c r="F443" s="6" t="str">
        <f>"1996-08-14"</f>
        <v>1996-08-14</v>
      </c>
      <c r="G443" s="6"/>
    </row>
    <row r="444" spans="1:7" ht="30" customHeight="1">
      <c r="A444" s="6">
        <v>442</v>
      </c>
      <c r="B444" s="6" t="str">
        <f>"39212022051621044032741"</f>
        <v>39212022051621044032741</v>
      </c>
      <c r="C444" s="6" t="s">
        <v>31</v>
      </c>
      <c r="D444" s="6" t="str">
        <f>"麦玉春"</f>
        <v>麦玉春</v>
      </c>
      <c r="E444" s="6" t="str">
        <f t="shared" si="14"/>
        <v>女</v>
      </c>
      <c r="F444" s="6" t="str">
        <f>"1998-04-20"</f>
        <v>1998-04-20</v>
      </c>
      <c r="G444" s="6"/>
    </row>
    <row r="445" spans="1:7" ht="30" customHeight="1">
      <c r="A445" s="6">
        <v>443</v>
      </c>
      <c r="B445" s="6" t="str">
        <f>"39212022051621201832767"</f>
        <v>39212022051621201832767</v>
      </c>
      <c r="C445" s="6" t="s">
        <v>31</v>
      </c>
      <c r="D445" s="6" t="str">
        <f>"麦小进"</f>
        <v>麦小进</v>
      </c>
      <c r="E445" s="6" t="str">
        <f t="shared" si="14"/>
        <v>女</v>
      </c>
      <c r="F445" s="6" t="str">
        <f>"1997-10-08"</f>
        <v>1997-10-08</v>
      </c>
      <c r="G445" s="6"/>
    </row>
    <row r="446" spans="1:7" ht="30" customHeight="1">
      <c r="A446" s="6">
        <v>444</v>
      </c>
      <c r="B446" s="6" t="str">
        <f>"39212022051621210032769"</f>
        <v>39212022051621210032769</v>
      </c>
      <c r="C446" s="6" t="s">
        <v>31</v>
      </c>
      <c r="D446" s="6" t="str">
        <f>"刘宣宣"</f>
        <v>刘宣宣</v>
      </c>
      <c r="E446" s="6" t="str">
        <f t="shared" si="14"/>
        <v>女</v>
      </c>
      <c r="F446" s="6" t="str">
        <f>"1998-09-02"</f>
        <v>1998-09-02</v>
      </c>
      <c r="G446" s="6"/>
    </row>
    <row r="447" spans="1:7" ht="30" customHeight="1">
      <c r="A447" s="6">
        <v>445</v>
      </c>
      <c r="B447" s="6" t="str">
        <f>"39212022051621232632771"</f>
        <v>39212022051621232632771</v>
      </c>
      <c r="C447" s="6" t="s">
        <v>31</v>
      </c>
      <c r="D447" s="6" t="str">
        <f>"王宇磊"</f>
        <v>王宇磊</v>
      </c>
      <c r="E447" s="6" t="str">
        <f t="shared" si="14"/>
        <v>女</v>
      </c>
      <c r="F447" s="6" t="str">
        <f>"1999-04-12"</f>
        <v>1999-04-12</v>
      </c>
      <c r="G447" s="6"/>
    </row>
    <row r="448" spans="1:7" ht="30" customHeight="1">
      <c r="A448" s="6">
        <v>446</v>
      </c>
      <c r="B448" s="6" t="str">
        <f>"39212022051621241332774"</f>
        <v>39212022051621241332774</v>
      </c>
      <c r="C448" s="6" t="s">
        <v>31</v>
      </c>
      <c r="D448" s="6" t="str">
        <f>"林永玲"</f>
        <v>林永玲</v>
      </c>
      <c r="E448" s="6" t="str">
        <f t="shared" si="14"/>
        <v>女</v>
      </c>
      <c r="F448" s="6" t="str">
        <f>"1996-12-07"</f>
        <v>1996-12-07</v>
      </c>
      <c r="G448" s="6"/>
    </row>
    <row r="449" spans="1:7" ht="30" customHeight="1">
      <c r="A449" s="6">
        <v>447</v>
      </c>
      <c r="B449" s="6" t="str">
        <f>"39212022051621474332798"</f>
        <v>39212022051621474332798</v>
      </c>
      <c r="C449" s="6" t="s">
        <v>31</v>
      </c>
      <c r="D449" s="6" t="str">
        <f>"吴玉花"</f>
        <v>吴玉花</v>
      </c>
      <c r="E449" s="6" t="str">
        <f t="shared" si="14"/>
        <v>女</v>
      </c>
      <c r="F449" s="6" t="str">
        <f>"1998-04-27"</f>
        <v>1998-04-27</v>
      </c>
      <c r="G449" s="6"/>
    </row>
    <row r="450" spans="1:7" ht="30" customHeight="1">
      <c r="A450" s="6">
        <v>448</v>
      </c>
      <c r="B450" s="6" t="str">
        <f>"39212022051621582532812"</f>
        <v>39212022051621582532812</v>
      </c>
      <c r="C450" s="6" t="s">
        <v>31</v>
      </c>
      <c r="D450" s="6" t="str">
        <f>"胡亚姨"</f>
        <v>胡亚姨</v>
      </c>
      <c r="E450" s="6" t="str">
        <f t="shared" si="14"/>
        <v>女</v>
      </c>
      <c r="F450" s="6" t="str">
        <f>"1996-09-01"</f>
        <v>1996-09-01</v>
      </c>
      <c r="G450" s="6"/>
    </row>
    <row r="451" spans="1:7" ht="30" customHeight="1">
      <c r="A451" s="6">
        <v>449</v>
      </c>
      <c r="B451" s="6" t="str">
        <f>"39212022051622021132817"</f>
        <v>39212022051622021132817</v>
      </c>
      <c r="C451" s="6" t="s">
        <v>31</v>
      </c>
      <c r="D451" s="6" t="str">
        <f>"曾培"</f>
        <v>曾培</v>
      </c>
      <c r="E451" s="6" t="str">
        <f>"男"</f>
        <v>男</v>
      </c>
      <c r="F451" s="6" t="str">
        <f>"1998-05-15"</f>
        <v>1998-05-15</v>
      </c>
      <c r="G451" s="6"/>
    </row>
    <row r="452" spans="1:7" ht="30" customHeight="1">
      <c r="A452" s="6">
        <v>450</v>
      </c>
      <c r="B452" s="6" t="str">
        <f>"39212022051622044732821"</f>
        <v>39212022051622044732821</v>
      </c>
      <c r="C452" s="6" t="s">
        <v>31</v>
      </c>
      <c r="D452" s="6" t="str">
        <f>"罗文叉"</f>
        <v>罗文叉</v>
      </c>
      <c r="E452" s="6" t="str">
        <f aca="true" t="shared" si="15" ref="E452:E460">"女"</f>
        <v>女</v>
      </c>
      <c r="F452" s="6" t="str">
        <f>"1995-04-16"</f>
        <v>1995-04-16</v>
      </c>
      <c r="G452" s="6"/>
    </row>
    <row r="453" spans="1:7" ht="30" customHeight="1">
      <c r="A453" s="6">
        <v>451</v>
      </c>
      <c r="B453" s="6" t="str">
        <f>"39212022051622044832822"</f>
        <v>39212022051622044832822</v>
      </c>
      <c r="C453" s="6" t="s">
        <v>31</v>
      </c>
      <c r="D453" s="6" t="str">
        <f>"陈玉珠"</f>
        <v>陈玉珠</v>
      </c>
      <c r="E453" s="6" t="str">
        <f t="shared" si="15"/>
        <v>女</v>
      </c>
      <c r="F453" s="6" t="str">
        <f>"1996-10-15"</f>
        <v>1996-10-15</v>
      </c>
      <c r="G453" s="6"/>
    </row>
    <row r="454" spans="1:7" ht="30" customHeight="1">
      <c r="A454" s="6">
        <v>452</v>
      </c>
      <c r="B454" s="6" t="str">
        <f>"39212022051622052732826"</f>
        <v>39212022051622052732826</v>
      </c>
      <c r="C454" s="6" t="s">
        <v>31</v>
      </c>
      <c r="D454" s="6" t="str">
        <f>"卢杨"</f>
        <v>卢杨</v>
      </c>
      <c r="E454" s="6" t="str">
        <f t="shared" si="15"/>
        <v>女</v>
      </c>
      <c r="F454" s="6" t="str">
        <f>"1996-04-21"</f>
        <v>1996-04-21</v>
      </c>
      <c r="G454" s="6"/>
    </row>
    <row r="455" spans="1:7" ht="30" customHeight="1">
      <c r="A455" s="6">
        <v>453</v>
      </c>
      <c r="B455" s="6" t="str">
        <f>"39212022051622145232837"</f>
        <v>39212022051622145232837</v>
      </c>
      <c r="C455" s="6" t="s">
        <v>31</v>
      </c>
      <c r="D455" s="6" t="str">
        <f>"吴晓曼"</f>
        <v>吴晓曼</v>
      </c>
      <c r="E455" s="6" t="str">
        <f t="shared" si="15"/>
        <v>女</v>
      </c>
      <c r="F455" s="6" t="str">
        <f>"1996-09-16"</f>
        <v>1996-09-16</v>
      </c>
      <c r="G455" s="6"/>
    </row>
    <row r="456" spans="1:7" ht="30" customHeight="1">
      <c r="A456" s="6">
        <v>454</v>
      </c>
      <c r="B456" s="6" t="str">
        <f>"39212022051622182032848"</f>
        <v>39212022051622182032848</v>
      </c>
      <c r="C456" s="6" t="s">
        <v>31</v>
      </c>
      <c r="D456" s="6" t="str">
        <f>"陈玉满"</f>
        <v>陈玉满</v>
      </c>
      <c r="E456" s="6" t="str">
        <f t="shared" si="15"/>
        <v>女</v>
      </c>
      <c r="F456" s="6" t="str">
        <f>"2000-05-10"</f>
        <v>2000-05-10</v>
      </c>
      <c r="G456" s="6"/>
    </row>
    <row r="457" spans="1:7" ht="30" customHeight="1">
      <c r="A457" s="6">
        <v>455</v>
      </c>
      <c r="B457" s="6" t="str">
        <f>"39212022051622553332885"</f>
        <v>39212022051622553332885</v>
      </c>
      <c r="C457" s="6" t="s">
        <v>31</v>
      </c>
      <c r="D457" s="6" t="str">
        <f>"陈小娟"</f>
        <v>陈小娟</v>
      </c>
      <c r="E457" s="6" t="str">
        <f t="shared" si="15"/>
        <v>女</v>
      </c>
      <c r="F457" s="6" t="str">
        <f>"1999-08-10"</f>
        <v>1999-08-10</v>
      </c>
      <c r="G457" s="6"/>
    </row>
    <row r="458" spans="1:7" ht="30" customHeight="1">
      <c r="A458" s="6">
        <v>456</v>
      </c>
      <c r="B458" s="6" t="str">
        <f>"39212022051623062132896"</f>
        <v>39212022051623062132896</v>
      </c>
      <c r="C458" s="6" t="s">
        <v>31</v>
      </c>
      <c r="D458" s="6" t="str">
        <f>"蔡家涯"</f>
        <v>蔡家涯</v>
      </c>
      <c r="E458" s="6" t="str">
        <f t="shared" si="15"/>
        <v>女</v>
      </c>
      <c r="F458" s="6" t="str">
        <f>"1994-07-10"</f>
        <v>1994-07-10</v>
      </c>
      <c r="G458" s="6"/>
    </row>
    <row r="459" spans="1:7" ht="30" customHeight="1">
      <c r="A459" s="6">
        <v>457</v>
      </c>
      <c r="B459" s="6" t="str">
        <f>"39212022051623311732911"</f>
        <v>39212022051623311732911</v>
      </c>
      <c r="C459" s="6" t="s">
        <v>31</v>
      </c>
      <c r="D459" s="6" t="str">
        <f>"盛秀芬"</f>
        <v>盛秀芬</v>
      </c>
      <c r="E459" s="6" t="str">
        <f t="shared" si="15"/>
        <v>女</v>
      </c>
      <c r="F459" s="6" t="str">
        <f>"2001-02-19"</f>
        <v>2001-02-19</v>
      </c>
      <c r="G459" s="6"/>
    </row>
    <row r="460" spans="1:7" ht="30" customHeight="1">
      <c r="A460" s="6">
        <v>458</v>
      </c>
      <c r="B460" s="6" t="str">
        <f>"39212022051623591932924"</f>
        <v>39212022051623591932924</v>
      </c>
      <c r="C460" s="6" t="s">
        <v>31</v>
      </c>
      <c r="D460" s="6" t="str">
        <f>"张福巧"</f>
        <v>张福巧</v>
      </c>
      <c r="E460" s="6" t="str">
        <f t="shared" si="15"/>
        <v>女</v>
      </c>
      <c r="F460" s="6" t="str">
        <f>"1994-07-01"</f>
        <v>1994-07-01</v>
      </c>
      <c r="G460" s="6"/>
    </row>
    <row r="461" spans="1:7" ht="30" customHeight="1">
      <c r="A461" s="6">
        <v>459</v>
      </c>
      <c r="B461" s="6" t="str">
        <f>"39212022051701084532942"</f>
        <v>39212022051701084532942</v>
      </c>
      <c r="C461" s="6" t="s">
        <v>31</v>
      </c>
      <c r="D461" s="6" t="str">
        <f>"陈永泰"</f>
        <v>陈永泰</v>
      </c>
      <c r="E461" s="6" t="str">
        <f>"男"</f>
        <v>男</v>
      </c>
      <c r="F461" s="6" t="str">
        <f>"1999-02-01"</f>
        <v>1999-02-01</v>
      </c>
      <c r="G461" s="6"/>
    </row>
    <row r="462" spans="1:7" ht="30" customHeight="1">
      <c r="A462" s="6">
        <v>460</v>
      </c>
      <c r="B462" s="6" t="str">
        <f>"39212022051702451432946"</f>
        <v>39212022051702451432946</v>
      </c>
      <c r="C462" s="6" t="s">
        <v>31</v>
      </c>
      <c r="D462" s="6" t="str">
        <f>"孙少娇"</f>
        <v>孙少娇</v>
      </c>
      <c r="E462" s="6" t="str">
        <f aca="true" t="shared" si="16" ref="E462:E467">"女"</f>
        <v>女</v>
      </c>
      <c r="F462" s="6" t="str">
        <f>"1997-01-02"</f>
        <v>1997-01-02</v>
      </c>
      <c r="G462" s="6"/>
    </row>
    <row r="463" spans="1:7" ht="30" customHeight="1">
      <c r="A463" s="6">
        <v>461</v>
      </c>
      <c r="B463" s="6" t="str">
        <f>"39212022051703090532950"</f>
        <v>39212022051703090532950</v>
      </c>
      <c r="C463" s="6" t="s">
        <v>31</v>
      </c>
      <c r="D463" s="6" t="str">
        <f>"李丽萍"</f>
        <v>李丽萍</v>
      </c>
      <c r="E463" s="6" t="str">
        <f t="shared" si="16"/>
        <v>女</v>
      </c>
      <c r="F463" s="6" t="str">
        <f>"1999-05-06"</f>
        <v>1999-05-06</v>
      </c>
      <c r="G463" s="6"/>
    </row>
    <row r="464" spans="1:7" ht="30" customHeight="1">
      <c r="A464" s="6">
        <v>462</v>
      </c>
      <c r="B464" s="6" t="str">
        <f>"39212022051708061332978"</f>
        <v>39212022051708061332978</v>
      </c>
      <c r="C464" s="6" t="s">
        <v>31</v>
      </c>
      <c r="D464" s="6" t="str">
        <f>"麦少慧"</f>
        <v>麦少慧</v>
      </c>
      <c r="E464" s="6" t="str">
        <f t="shared" si="16"/>
        <v>女</v>
      </c>
      <c r="F464" s="6" t="str">
        <f>"1998-08-18"</f>
        <v>1998-08-18</v>
      </c>
      <c r="G464" s="6"/>
    </row>
    <row r="465" spans="1:7" ht="30" customHeight="1">
      <c r="A465" s="6">
        <v>463</v>
      </c>
      <c r="B465" s="6" t="str">
        <f>"39212022051708182532988"</f>
        <v>39212022051708182532988</v>
      </c>
      <c r="C465" s="6" t="s">
        <v>31</v>
      </c>
      <c r="D465" s="6" t="str">
        <f>"羊金秀"</f>
        <v>羊金秀</v>
      </c>
      <c r="E465" s="6" t="str">
        <f t="shared" si="16"/>
        <v>女</v>
      </c>
      <c r="F465" s="6" t="str">
        <f>"2000-11-20"</f>
        <v>2000-11-20</v>
      </c>
      <c r="G465" s="6"/>
    </row>
    <row r="466" spans="1:7" ht="30" customHeight="1">
      <c r="A466" s="6">
        <v>464</v>
      </c>
      <c r="B466" s="6" t="str">
        <f>"39212022051709141433056"</f>
        <v>39212022051709141433056</v>
      </c>
      <c r="C466" s="6" t="s">
        <v>31</v>
      </c>
      <c r="D466" s="6" t="str">
        <f>"张汉娥"</f>
        <v>张汉娥</v>
      </c>
      <c r="E466" s="6" t="str">
        <f t="shared" si="16"/>
        <v>女</v>
      </c>
      <c r="F466" s="6" t="str">
        <f>"1995-10-01"</f>
        <v>1995-10-01</v>
      </c>
      <c r="G466" s="6"/>
    </row>
    <row r="467" spans="1:7" ht="30" customHeight="1">
      <c r="A467" s="6">
        <v>465</v>
      </c>
      <c r="B467" s="6" t="str">
        <f>"39212022051709251333079"</f>
        <v>39212022051709251333079</v>
      </c>
      <c r="C467" s="6" t="s">
        <v>31</v>
      </c>
      <c r="D467" s="6" t="str">
        <f>"吴维梅"</f>
        <v>吴维梅</v>
      </c>
      <c r="E467" s="6" t="str">
        <f t="shared" si="16"/>
        <v>女</v>
      </c>
      <c r="F467" s="6" t="str">
        <f>"1999-12-04"</f>
        <v>1999-12-04</v>
      </c>
      <c r="G467" s="6"/>
    </row>
    <row r="468" spans="1:7" ht="30" customHeight="1">
      <c r="A468" s="6">
        <v>466</v>
      </c>
      <c r="B468" s="6" t="str">
        <f>"39212022051709480533122"</f>
        <v>39212022051709480533122</v>
      </c>
      <c r="C468" s="6" t="s">
        <v>31</v>
      </c>
      <c r="D468" s="6" t="str">
        <f>"刘泽宇"</f>
        <v>刘泽宇</v>
      </c>
      <c r="E468" s="6" t="str">
        <f>"男"</f>
        <v>男</v>
      </c>
      <c r="F468" s="6" t="str">
        <f>"1995-11-30"</f>
        <v>1995-11-30</v>
      </c>
      <c r="G468" s="6"/>
    </row>
    <row r="469" spans="1:7" ht="30" customHeight="1">
      <c r="A469" s="6">
        <v>467</v>
      </c>
      <c r="B469" s="6" t="str">
        <f>"39212022051709555933135"</f>
        <v>39212022051709555933135</v>
      </c>
      <c r="C469" s="6" t="s">
        <v>31</v>
      </c>
      <c r="D469" s="6" t="str">
        <f>"李开靓"</f>
        <v>李开靓</v>
      </c>
      <c r="E469" s="6" t="str">
        <f aca="true" t="shared" si="17" ref="E469:E483">"女"</f>
        <v>女</v>
      </c>
      <c r="F469" s="6" t="str">
        <f>"1995-01-10"</f>
        <v>1995-01-10</v>
      </c>
      <c r="G469" s="6"/>
    </row>
    <row r="470" spans="1:7" ht="30" customHeight="1">
      <c r="A470" s="6">
        <v>468</v>
      </c>
      <c r="B470" s="6" t="str">
        <f>"39212022051709583033142"</f>
        <v>39212022051709583033142</v>
      </c>
      <c r="C470" s="6" t="s">
        <v>31</v>
      </c>
      <c r="D470" s="6" t="str">
        <f>"赵祝小"</f>
        <v>赵祝小</v>
      </c>
      <c r="E470" s="6" t="str">
        <f t="shared" si="17"/>
        <v>女</v>
      </c>
      <c r="F470" s="6" t="str">
        <f>"1999-10-20"</f>
        <v>1999-10-20</v>
      </c>
      <c r="G470" s="6"/>
    </row>
    <row r="471" spans="1:7" ht="30" customHeight="1">
      <c r="A471" s="6">
        <v>469</v>
      </c>
      <c r="B471" s="6" t="str">
        <f>"39212022051710443433212"</f>
        <v>39212022051710443433212</v>
      </c>
      <c r="C471" s="6" t="s">
        <v>31</v>
      </c>
      <c r="D471" s="6" t="str">
        <f>"王蓉"</f>
        <v>王蓉</v>
      </c>
      <c r="E471" s="6" t="str">
        <f t="shared" si="17"/>
        <v>女</v>
      </c>
      <c r="F471" s="6" t="str">
        <f>"1996-08-09"</f>
        <v>1996-08-09</v>
      </c>
      <c r="G471" s="6"/>
    </row>
    <row r="472" spans="1:7" ht="30" customHeight="1">
      <c r="A472" s="6">
        <v>470</v>
      </c>
      <c r="B472" s="6" t="str">
        <f>"39212022051710532233227"</f>
        <v>39212022051710532233227</v>
      </c>
      <c r="C472" s="6" t="s">
        <v>31</v>
      </c>
      <c r="D472" s="6" t="str">
        <f>"许月涝"</f>
        <v>许月涝</v>
      </c>
      <c r="E472" s="6" t="str">
        <f t="shared" si="17"/>
        <v>女</v>
      </c>
      <c r="F472" s="6" t="str">
        <f>"1997-10-28"</f>
        <v>1997-10-28</v>
      </c>
      <c r="G472" s="6"/>
    </row>
    <row r="473" spans="1:7" ht="30" customHeight="1">
      <c r="A473" s="6">
        <v>471</v>
      </c>
      <c r="B473" s="6" t="str">
        <f>"39212022051711093333254"</f>
        <v>39212022051711093333254</v>
      </c>
      <c r="C473" s="6" t="s">
        <v>31</v>
      </c>
      <c r="D473" s="6" t="str">
        <f>"黄少媛"</f>
        <v>黄少媛</v>
      </c>
      <c r="E473" s="6" t="str">
        <f t="shared" si="17"/>
        <v>女</v>
      </c>
      <c r="F473" s="6" t="str">
        <f>"1996-06-07"</f>
        <v>1996-06-07</v>
      </c>
      <c r="G473" s="6"/>
    </row>
    <row r="474" spans="1:7" ht="30" customHeight="1">
      <c r="A474" s="6">
        <v>472</v>
      </c>
      <c r="B474" s="6" t="str">
        <f>"39212022051712440533379"</f>
        <v>39212022051712440533379</v>
      </c>
      <c r="C474" s="6" t="s">
        <v>31</v>
      </c>
      <c r="D474" s="6" t="str">
        <f>"杜雪灵"</f>
        <v>杜雪灵</v>
      </c>
      <c r="E474" s="6" t="str">
        <f t="shared" si="17"/>
        <v>女</v>
      </c>
      <c r="F474" s="6" t="str">
        <f>"1997-11-23"</f>
        <v>1997-11-23</v>
      </c>
      <c r="G474" s="6"/>
    </row>
    <row r="475" spans="1:7" ht="30" customHeight="1">
      <c r="A475" s="6">
        <v>473</v>
      </c>
      <c r="B475" s="6" t="str">
        <f>"39212022051712471633382"</f>
        <v>39212022051712471633382</v>
      </c>
      <c r="C475" s="6" t="s">
        <v>31</v>
      </c>
      <c r="D475" s="6" t="str">
        <f>"林明寰"</f>
        <v>林明寰</v>
      </c>
      <c r="E475" s="6" t="str">
        <f t="shared" si="17"/>
        <v>女</v>
      </c>
      <c r="F475" s="6" t="str">
        <f>"1994-02-13"</f>
        <v>1994-02-13</v>
      </c>
      <c r="G475" s="6"/>
    </row>
    <row r="476" spans="1:7" ht="30" customHeight="1">
      <c r="A476" s="6">
        <v>474</v>
      </c>
      <c r="B476" s="6" t="str">
        <f>"39212022051713051833401"</f>
        <v>39212022051713051833401</v>
      </c>
      <c r="C476" s="6" t="s">
        <v>31</v>
      </c>
      <c r="D476" s="6" t="str">
        <f>"李学秀"</f>
        <v>李学秀</v>
      </c>
      <c r="E476" s="6" t="str">
        <f t="shared" si="17"/>
        <v>女</v>
      </c>
      <c r="F476" s="6" t="str">
        <f>"2002-02-09"</f>
        <v>2002-02-09</v>
      </c>
      <c r="G476" s="6"/>
    </row>
    <row r="477" spans="1:7" ht="30" customHeight="1">
      <c r="A477" s="6">
        <v>475</v>
      </c>
      <c r="B477" s="6" t="str">
        <f>"39212022051713070433404"</f>
        <v>39212022051713070433404</v>
      </c>
      <c r="C477" s="6" t="s">
        <v>31</v>
      </c>
      <c r="D477" s="6" t="str">
        <f>"张瑶"</f>
        <v>张瑶</v>
      </c>
      <c r="E477" s="6" t="str">
        <f t="shared" si="17"/>
        <v>女</v>
      </c>
      <c r="F477" s="6" t="str">
        <f>"1998-11-06"</f>
        <v>1998-11-06</v>
      </c>
      <c r="G477" s="6"/>
    </row>
    <row r="478" spans="1:7" ht="30" customHeight="1">
      <c r="A478" s="6">
        <v>476</v>
      </c>
      <c r="B478" s="6" t="str">
        <f>"39212022051713465933454"</f>
        <v>39212022051713465933454</v>
      </c>
      <c r="C478" s="6" t="s">
        <v>31</v>
      </c>
      <c r="D478" s="6" t="str">
        <f>"罗茜"</f>
        <v>罗茜</v>
      </c>
      <c r="E478" s="6" t="str">
        <f t="shared" si="17"/>
        <v>女</v>
      </c>
      <c r="F478" s="6" t="str">
        <f>"2000-10-08"</f>
        <v>2000-10-08</v>
      </c>
      <c r="G478" s="6"/>
    </row>
    <row r="479" spans="1:7" ht="30" customHeight="1">
      <c r="A479" s="6">
        <v>477</v>
      </c>
      <c r="B479" s="6" t="str">
        <f>"39212022051714002033464"</f>
        <v>39212022051714002033464</v>
      </c>
      <c r="C479" s="6" t="s">
        <v>31</v>
      </c>
      <c r="D479" s="6" t="str">
        <f>"文红珊"</f>
        <v>文红珊</v>
      </c>
      <c r="E479" s="6" t="str">
        <f t="shared" si="17"/>
        <v>女</v>
      </c>
      <c r="F479" s="6" t="str">
        <f>"1995-10-30"</f>
        <v>1995-10-30</v>
      </c>
      <c r="G479" s="6"/>
    </row>
    <row r="480" spans="1:7" ht="30" customHeight="1">
      <c r="A480" s="6">
        <v>478</v>
      </c>
      <c r="B480" s="6" t="str">
        <f>"39212022051714035033469"</f>
        <v>39212022051714035033469</v>
      </c>
      <c r="C480" s="6" t="s">
        <v>31</v>
      </c>
      <c r="D480" s="6" t="str">
        <f>"麦君柳"</f>
        <v>麦君柳</v>
      </c>
      <c r="E480" s="6" t="str">
        <f t="shared" si="17"/>
        <v>女</v>
      </c>
      <c r="F480" s="6" t="str">
        <f>"1991-06-08"</f>
        <v>1991-06-08</v>
      </c>
      <c r="G480" s="6"/>
    </row>
    <row r="481" spans="1:7" ht="30" customHeight="1">
      <c r="A481" s="6">
        <v>479</v>
      </c>
      <c r="B481" s="6" t="str">
        <f>"39212022051714120833480"</f>
        <v>39212022051714120833480</v>
      </c>
      <c r="C481" s="6" t="s">
        <v>31</v>
      </c>
      <c r="D481" s="6" t="str">
        <f>"林鸿儒"</f>
        <v>林鸿儒</v>
      </c>
      <c r="E481" s="6" t="str">
        <f t="shared" si="17"/>
        <v>女</v>
      </c>
      <c r="F481" s="6" t="str">
        <f>"2001-10-28"</f>
        <v>2001-10-28</v>
      </c>
      <c r="G481" s="6"/>
    </row>
    <row r="482" spans="1:7" ht="30" customHeight="1">
      <c r="A482" s="6">
        <v>480</v>
      </c>
      <c r="B482" s="6" t="str">
        <f>"39212022051714315433505"</f>
        <v>39212022051714315433505</v>
      </c>
      <c r="C482" s="6" t="s">
        <v>31</v>
      </c>
      <c r="D482" s="6" t="str">
        <f>"陈慧"</f>
        <v>陈慧</v>
      </c>
      <c r="E482" s="6" t="str">
        <f t="shared" si="17"/>
        <v>女</v>
      </c>
      <c r="F482" s="6" t="str">
        <f>"2001-02-08"</f>
        <v>2001-02-08</v>
      </c>
      <c r="G482" s="6"/>
    </row>
    <row r="483" spans="1:7" ht="30" customHeight="1">
      <c r="A483" s="6">
        <v>481</v>
      </c>
      <c r="B483" s="6" t="str">
        <f>"39212022051714425433526"</f>
        <v>39212022051714425433526</v>
      </c>
      <c r="C483" s="6" t="s">
        <v>31</v>
      </c>
      <c r="D483" s="6" t="str">
        <f>"陈运梦"</f>
        <v>陈运梦</v>
      </c>
      <c r="E483" s="6" t="str">
        <f t="shared" si="17"/>
        <v>女</v>
      </c>
      <c r="F483" s="6" t="str">
        <f>"1997-10-30"</f>
        <v>1997-10-30</v>
      </c>
      <c r="G483" s="6"/>
    </row>
    <row r="484" spans="1:7" ht="30" customHeight="1">
      <c r="A484" s="6">
        <v>482</v>
      </c>
      <c r="B484" s="6" t="str">
        <f>"39212022051715135933572"</f>
        <v>39212022051715135933572</v>
      </c>
      <c r="C484" s="6" t="s">
        <v>31</v>
      </c>
      <c r="D484" s="6" t="str">
        <f>"王嘉年"</f>
        <v>王嘉年</v>
      </c>
      <c r="E484" s="6" t="str">
        <f>"男"</f>
        <v>男</v>
      </c>
      <c r="F484" s="6" t="str">
        <f>"1998-06-18"</f>
        <v>1998-06-18</v>
      </c>
      <c r="G484" s="6"/>
    </row>
    <row r="485" spans="1:7" ht="30" customHeight="1">
      <c r="A485" s="6">
        <v>483</v>
      </c>
      <c r="B485" s="6" t="str">
        <f>"39212022051715203333586"</f>
        <v>39212022051715203333586</v>
      </c>
      <c r="C485" s="6" t="s">
        <v>31</v>
      </c>
      <c r="D485" s="6" t="str">
        <f>"高梦芸"</f>
        <v>高梦芸</v>
      </c>
      <c r="E485" s="6" t="str">
        <f aca="true" t="shared" si="18" ref="E485:E494">"女"</f>
        <v>女</v>
      </c>
      <c r="F485" s="6" t="str">
        <f>"1997-01-16"</f>
        <v>1997-01-16</v>
      </c>
      <c r="G485" s="6"/>
    </row>
    <row r="486" spans="1:7" ht="30" customHeight="1">
      <c r="A486" s="6">
        <v>484</v>
      </c>
      <c r="B486" s="6" t="str">
        <f>"39212022051715273433598"</f>
        <v>39212022051715273433598</v>
      </c>
      <c r="C486" s="6" t="s">
        <v>31</v>
      </c>
      <c r="D486" s="6" t="str">
        <f>"陈虹任"</f>
        <v>陈虹任</v>
      </c>
      <c r="E486" s="6" t="str">
        <f t="shared" si="18"/>
        <v>女</v>
      </c>
      <c r="F486" s="6" t="str">
        <f>"1996-06-16"</f>
        <v>1996-06-16</v>
      </c>
      <c r="G486" s="6"/>
    </row>
    <row r="487" spans="1:7" ht="30" customHeight="1">
      <c r="A487" s="6">
        <v>485</v>
      </c>
      <c r="B487" s="6" t="str">
        <f>"39212022051715320333607"</f>
        <v>39212022051715320333607</v>
      </c>
      <c r="C487" s="6" t="s">
        <v>31</v>
      </c>
      <c r="D487" s="6" t="str">
        <f>"许龙慧"</f>
        <v>许龙慧</v>
      </c>
      <c r="E487" s="6" t="str">
        <f t="shared" si="18"/>
        <v>女</v>
      </c>
      <c r="F487" s="6" t="str">
        <f>"2000-07-27"</f>
        <v>2000-07-27</v>
      </c>
      <c r="G487" s="6"/>
    </row>
    <row r="488" spans="1:7" ht="30" customHeight="1">
      <c r="A488" s="6">
        <v>486</v>
      </c>
      <c r="B488" s="6" t="str">
        <f>"39212022051715371233616"</f>
        <v>39212022051715371233616</v>
      </c>
      <c r="C488" s="6" t="s">
        <v>31</v>
      </c>
      <c r="D488" s="6" t="str">
        <f>"曾姗姗"</f>
        <v>曾姗姗</v>
      </c>
      <c r="E488" s="6" t="str">
        <f t="shared" si="18"/>
        <v>女</v>
      </c>
      <c r="F488" s="6" t="str">
        <f>"1998-11-12"</f>
        <v>1998-11-12</v>
      </c>
      <c r="G488" s="6"/>
    </row>
    <row r="489" spans="1:7" ht="30" customHeight="1">
      <c r="A489" s="6">
        <v>487</v>
      </c>
      <c r="B489" s="6" t="str">
        <f>"39212022051715541033648"</f>
        <v>39212022051715541033648</v>
      </c>
      <c r="C489" s="6" t="s">
        <v>31</v>
      </c>
      <c r="D489" s="6" t="str">
        <f>"李容"</f>
        <v>李容</v>
      </c>
      <c r="E489" s="6" t="str">
        <f t="shared" si="18"/>
        <v>女</v>
      </c>
      <c r="F489" s="6" t="str">
        <f>"1995-02-05"</f>
        <v>1995-02-05</v>
      </c>
      <c r="G489" s="6"/>
    </row>
    <row r="490" spans="1:7" ht="30" customHeight="1">
      <c r="A490" s="6">
        <v>488</v>
      </c>
      <c r="B490" s="6" t="str">
        <f>"39212022051715585433656"</f>
        <v>39212022051715585433656</v>
      </c>
      <c r="C490" s="6" t="s">
        <v>31</v>
      </c>
      <c r="D490" s="6" t="str">
        <f>"陈夏心"</f>
        <v>陈夏心</v>
      </c>
      <c r="E490" s="6" t="str">
        <f t="shared" si="18"/>
        <v>女</v>
      </c>
      <c r="F490" s="6" t="str">
        <f>"2001-04-07"</f>
        <v>2001-04-07</v>
      </c>
      <c r="G490" s="6"/>
    </row>
    <row r="491" spans="1:7" ht="30" customHeight="1">
      <c r="A491" s="6">
        <v>489</v>
      </c>
      <c r="B491" s="6" t="str">
        <f>"39212022051716103233684"</f>
        <v>39212022051716103233684</v>
      </c>
      <c r="C491" s="6" t="s">
        <v>31</v>
      </c>
      <c r="D491" s="6" t="str">
        <f>"王学英"</f>
        <v>王学英</v>
      </c>
      <c r="E491" s="6" t="str">
        <f t="shared" si="18"/>
        <v>女</v>
      </c>
      <c r="F491" s="6" t="str">
        <f>"1999-04-18"</f>
        <v>1999-04-18</v>
      </c>
      <c r="G491" s="6"/>
    </row>
    <row r="492" spans="1:7" ht="30" customHeight="1">
      <c r="A492" s="6">
        <v>490</v>
      </c>
      <c r="B492" s="6" t="str">
        <f>"39212022051716115433686"</f>
        <v>39212022051716115433686</v>
      </c>
      <c r="C492" s="6" t="s">
        <v>31</v>
      </c>
      <c r="D492" s="6" t="str">
        <f>"陈积巧"</f>
        <v>陈积巧</v>
      </c>
      <c r="E492" s="6" t="str">
        <f t="shared" si="18"/>
        <v>女</v>
      </c>
      <c r="F492" s="6" t="str">
        <f>"1998-12-05"</f>
        <v>1998-12-05</v>
      </c>
      <c r="G492" s="6"/>
    </row>
    <row r="493" spans="1:7" ht="30" customHeight="1">
      <c r="A493" s="6">
        <v>491</v>
      </c>
      <c r="B493" s="6" t="str">
        <f>"39212022051716273733706"</f>
        <v>39212022051716273733706</v>
      </c>
      <c r="C493" s="6" t="s">
        <v>31</v>
      </c>
      <c r="D493" s="6" t="str">
        <f>"黎珠转"</f>
        <v>黎珠转</v>
      </c>
      <c r="E493" s="6" t="str">
        <f t="shared" si="18"/>
        <v>女</v>
      </c>
      <c r="F493" s="6" t="str">
        <f>"1997-01-03"</f>
        <v>1997-01-03</v>
      </c>
      <c r="G493" s="6"/>
    </row>
    <row r="494" spans="1:7" ht="30" customHeight="1">
      <c r="A494" s="6">
        <v>492</v>
      </c>
      <c r="B494" s="6" t="str">
        <f>"39212022051716312133709"</f>
        <v>39212022051716312133709</v>
      </c>
      <c r="C494" s="6" t="s">
        <v>31</v>
      </c>
      <c r="D494" s="6" t="str">
        <f>"颜小月"</f>
        <v>颜小月</v>
      </c>
      <c r="E494" s="6" t="str">
        <f t="shared" si="18"/>
        <v>女</v>
      </c>
      <c r="F494" s="6" t="str">
        <f>"2000-04-22"</f>
        <v>2000-04-22</v>
      </c>
      <c r="G494" s="6"/>
    </row>
    <row r="495" spans="1:7" ht="30" customHeight="1">
      <c r="A495" s="6">
        <v>493</v>
      </c>
      <c r="B495" s="6" t="str">
        <f>"39212022051716382833718"</f>
        <v>39212022051716382833718</v>
      </c>
      <c r="C495" s="6" t="s">
        <v>31</v>
      </c>
      <c r="D495" s="6" t="str">
        <f>"符耀鹏"</f>
        <v>符耀鹏</v>
      </c>
      <c r="E495" s="6" t="str">
        <f>"男"</f>
        <v>男</v>
      </c>
      <c r="F495" s="6" t="str">
        <f>"1998-12-06"</f>
        <v>1998-12-06</v>
      </c>
      <c r="G495" s="6"/>
    </row>
    <row r="496" spans="1:7" ht="30" customHeight="1">
      <c r="A496" s="6">
        <v>494</v>
      </c>
      <c r="B496" s="6" t="str">
        <f>"39212022051716475333738"</f>
        <v>39212022051716475333738</v>
      </c>
      <c r="C496" s="6" t="s">
        <v>31</v>
      </c>
      <c r="D496" s="6" t="str">
        <f>"曾娟女"</f>
        <v>曾娟女</v>
      </c>
      <c r="E496" s="6" t="str">
        <f aca="true" t="shared" si="19" ref="E496:E505">"女"</f>
        <v>女</v>
      </c>
      <c r="F496" s="6" t="str">
        <f>"1999-12-27"</f>
        <v>1999-12-27</v>
      </c>
      <c r="G496" s="6"/>
    </row>
    <row r="497" spans="1:7" ht="30" customHeight="1">
      <c r="A497" s="6">
        <v>495</v>
      </c>
      <c r="B497" s="6" t="str">
        <f>"39212022051717111633777"</f>
        <v>39212022051717111633777</v>
      </c>
      <c r="C497" s="6" t="s">
        <v>31</v>
      </c>
      <c r="D497" s="6" t="str">
        <f>"王人淑"</f>
        <v>王人淑</v>
      </c>
      <c r="E497" s="6" t="str">
        <f t="shared" si="19"/>
        <v>女</v>
      </c>
      <c r="F497" s="6" t="str">
        <f>"1992-10-13"</f>
        <v>1992-10-13</v>
      </c>
      <c r="G497" s="6"/>
    </row>
    <row r="498" spans="1:7" ht="30" customHeight="1">
      <c r="A498" s="6">
        <v>496</v>
      </c>
      <c r="B498" s="6" t="str">
        <f>"39212022051717381333814"</f>
        <v>39212022051717381333814</v>
      </c>
      <c r="C498" s="6" t="s">
        <v>31</v>
      </c>
      <c r="D498" s="6" t="str">
        <f>"邢娜芳"</f>
        <v>邢娜芳</v>
      </c>
      <c r="E498" s="6" t="str">
        <f t="shared" si="19"/>
        <v>女</v>
      </c>
      <c r="F498" s="6" t="str">
        <f>"1992-12-27"</f>
        <v>1992-12-27</v>
      </c>
      <c r="G498" s="6"/>
    </row>
    <row r="499" spans="1:7" ht="30" customHeight="1">
      <c r="A499" s="6">
        <v>497</v>
      </c>
      <c r="B499" s="6" t="str">
        <f>"39212022051717533333833"</f>
        <v>39212022051717533333833</v>
      </c>
      <c r="C499" s="6" t="s">
        <v>31</v>
      </c>
      <c r="D499" s="6" t="str">
        <f>"李开振"</f>
        <v>李开振</v>
      </c>
      <c r="E499" s="6" t="str">
        <f t="shared" si="19"/>
        <v>女</v>
      </c>
      <c r="F499" s="6" t="str">
        <f>"1996-08-17"</f>
        <v>1996-08-17</v>
      </c>
      <c r="G499" s="6"/>
    </row>
    <row r="500" spans="1:7" ht="30" customHeight="1">
      <c r="A500" s="6">
        <v>498</v>
      </c>
      <c r="B500" s="6" t="str">
        <f>"39212022051718233333879"</f>
        <v>39212022051718233333879</v>
      </c>
      <c r="C500" s="6" t="s">
        <v>31</v>
      </c>
      <c r="D500" s="6" t="str">
        <f>"庄史英"</f>
        <v>庄史英</v>
      </c>
      <c r="E500" s="6" t="str">
        <f t="shared" si="19"/>
        <v>女</v>
      </c>
      <c r="F500" s="6" t="str">
        <f>"1999-12-06"</f>
        <v>1999-12-06</v>
      </c>
      <c r="G500" s="6"/>
    </row>
    <row r="501" spans="1:7" ht="30" customHeight="1">
      <c r="A501" s="6">
        <v>499</v>
      </c>
      <c r="B501" s="6" t="str">
        <f>"39212022051718243233880"</f>
        <v>39212022051718243233880</v>
      </c>
      <c r="C501" s="6" t="s">
        <v>31</v>
      </c>
      <c r="D501" s="6" t="str">
        <f>"黄花柳"</f>
        <v>黄花柳</v>
      </c>
      <c r="E501" s="6" t="str">
        <f t="shared" si="19"/>
        <v>女</v>
      </c>
      <c r="F501" s="6" t="str">
        <f>"1994-12-24"</f>
        <v>1994-12-24</v>
      </c>
      <c r="G501" s="6"/>
    </row>
    <row r="502" spans="1:7" ht="30" customHeight="1">
      <c r="A502" s="6">
        <v>500</v>
      </c>
      <c r="B502" s="6" t="str">
        <f>"39212022051718353933901"</f>
        <v>39212022051718353933901</v>
      </c>
      <c r="C502" s="6" t="s">
        <v>31</v>
      </c>
      <c r="D502" s="6" t="str">
        <f>"李凤兰"</f>
        <v>李凤兰</v>
      </c>
      <c r="E502" s="6" t="str">
        <f t="shared" si="19"/>
        <v>女</v>
      </c>
      <c r="F502" s="6" t="str">
        <f>"1996-05-26"</f>
        <v>1996-05-26</v>
      </c>
      <c r="G502" s="6"/>
    </row>
    <row r="503" spans="1:7" ht="30" customHeight="1">
      <c r="A503" s="6">
        <v>501</v>
      </c>
      <c r="B503" s="6" t="str">
        <f>"39212022051718420433909"</f>
        <v>39212022051718420433909</v>
      </c>
      <c r="C503" s="6" t="s">
        <v>31</v>
      </c>
      <c r="D503" s="6" t="str">
        <f>"曾二香"</f>
        <v>曾二香</v>
      </c>
      <c r="E503" s="6" t="str">
        <f t="shared" si="19"/>
        <v>女</v>
      </c>
      <c r="F503" s="6" t="str">
        <f>"1997-03-16"</f>
        <v>1997-03-16</v>
      </c>
      <c r="G503" s="6"/>
    </row>
    <row r="504" spans="1:7" ht="30" customHeight="1">
      <c r="A504" s="6">
        <v>502</v>
      </c>
      <c r="B504" s="6" t="str">
        <f>"39212022051718423533910"</f>
        <v>39212022051718423533910</v>
      </c>
      <c r="C504" s="6" t="s">
        <v>31</v>
      </c>
      <c r="D504" s="6" t="str">
        <f>"林慧妮"</f>
        <v>林慧妮</v>
      </c>
      <c r="E504" s="6" t="str">
        <f t="shared" si="19"/>
        <v>女</v>
      </c>
      <c r="F504" s="6" t="str">
        <f>"1997-05-15"</f>
        <v>1997-05-15</v>
      </c>
      <c r="G504" s="6"/>
    </row>
    <row r="505" spans="1:7" ht="30" customHeight="1">
      <c r="A505" s="6">
        <v>503</v>
      </c>
      <c r="B505" s="6" t="str">
        <f>"39212022051719304633973"</f>
        <v>39212022051719304633973</v>
      </c>
      <c r="C505" s="6" t="s">
        <v>31</v>
      </c>
      <c r="D505" s="6" t="str">
        <f>"陈积昆"</f>
        <v>陈积昆</v>
      </c>
      <c r="E505" s="6" t="str">
        <f t="shared" si="19"/>
        <v>女</v>
      </c>
      <c r="F505" s="6" t="str">
        <f>"1999-04-27"</f>
        <v>1999-04-27</v>
      </c>
      <c r="G505" s="6"/>
    </row>
    <row r="506" spans="1:7" ht="30" customHeight="1">
      <c r="A506" s="6">
        <v>504</v>
      </c>
      <c r="B506" s="6" t="str">
        <f>"39212022051719355933979"</f>
        <v>39212022051719355933979</v>
      </c>
      <c r="C506" s="6" t="s">
        <v>31</v>
      </c>
      <c r="D506" s="6" t="str">
        <f>"辛亮"</f>
        <v>辛亮</v>
      </c>
      <c r="E506" s="6" t="str">
        <f>"男"</f>
        <v>男</v>
      </c>
      <c r="F506" s="6" t="str">
        <f>"1995-06-04"</f>
        <v>1995-06-04</v>
      </c>
      <c r="G506" s="6"/>
    </row>
    <row r="507" spans="1:7" ht="30" customHeight="1">
      <c r="A507" s="6">
        <v>505</v>
      </c>
      <c r="B507" s="6" t="str">
        <f>"39212022051719380933982"</f>
        <v>39212022051719380933982</v>
      </c>
      <c r="C507" s="6" t="s">
        <v>31</v>
      </c>
      <c r="D507" s="6" t="str">
        <f>"吴光纳"</f>
        <v>吴光纳</v>
      </c>
      <c r="E507" s="6" t="str">
        <f aca="true" t="shared" si="20" ref="E507:E539">"女"</f>
        <v>女</v>
      </c>
      <c r="F507" s="6" t="str">
        <f>"2000-05-09"</f>
        <v>2000-05-09</v>
      </c>
      <c r="G507" s="6"/>
    </row>
    <row r="508" spans="1:7" ht="30" customHeight="1">
      <c r="A508" s="6">
        <v>506</v>
      </c>
      <c r="B508" s="6" t="str">
        <f>"39212022051720001034003"</f>
        <v>39212022051720001034003</v>
      </c>
      <c r="C508" s="6" t="s">
        <v>31</v>
      </c>
      <c r="D508" s="6" t="str">
        <f>"符男"</f>
        <v>符男</v>
      </c>
      <c r="E508" s="6" t="str">
        <f t="shared" si="20"/>
        <v>女</v>
      </c>
      <c r="F508" s="6" t="str">
        <f>"1997-05-25"</f>
        <v>1997-05-25</v>
      </c>
      <c r="G508" s="6"/>
    </row>
    <row r="509" spans="1:7" ht="30" customHeight="1">
      <c r="A509" s="6">
        <v>507</v>
      </c>
      <c r="B509" s="6" t="str">
        <f>"39212022051720001734005"</f>
        <v>39212022051720001734005</v>
      </c>
      <c r="C509" s="6" t="s">
        <v>31</v>
      </c>
      <c r="D509" s="6" t="str">
        <f>"符芳丽"</f>
        <v>符芳丽</v>
      </c>
      <c r="E509" s="6" t="str">
        <f t="shared" si="20"/>
        <v>女</v>
      </c>
      <c r="F509" s="6" t="str">
        <f>"1998-07-09"</f>
        <v>1998-07-09</v>
      </c>
      <c r="G509" s="6"/>
    </row>
    <row r="510" spans="1:7" ht="30" customHeight="1">
      <c r="A510" s="6">
        <v>508</v>
      </c>
      <c r="B510" s="6" t="str">
        <f>"39212022051720151734133"</f>
        <v>39212022051720151734133</v>
      </c>
      <c r="C510" s="6" t="s">
        <v>31</v>
      </c>
      <c r="D510" s="6" t="str">
        <f>"孙柳倩"</f>
        <v>孙柳倩</v>
      </c>
      <c r="E510" s="6" t="str">
        <f t="shared" si="20"/>
        <v>女</v>
      </c>
      <c r="F510" s="6" t="str">
        <f>"1999-10-01"</f>
        <v>1999-10-01</v>
      </c>
      <c r="G510" s="6"/>
    </row>
    <row r="511" spans="1:7" ht="30" customHeight="1">
      <c r="A511" s="6">
        <v>509</v>
      </c>
      <c r="B511" s="6" t="str">
        <f>"39212022051720204934166"</f>
        <v>39212022051720204934166</v>
      </c>
      <c r="C511" s="6" t="s">
        <v>31</v>
      </c>
      <c r="D511" s="6" t="str">
        <f>"黄念"</f>
        <v>黄念</v>
      </c>
      <c r="E511" s="6" t="str">
        <f t="shared" si="20"/>
        <v>女</v>
      </c>
      <c r="F511" s="6" t="str">
        <f>"1992-10-02"</f>
        <v>1992-10-02</v>
      </c>
      <c r="G511" s="6"/>
    </row>
    <row r="512" spans="1:7" ht="30" customHeight="1">
      <c r="A512" s="6">
        <v>510</v>
      </c>
      <c r="B512" s="6" t="str">
        <f>"39212022051720435534261"</f>
        <v>39212022051720435534261</v>
      </c>
      <c r="C512" s="6" t="s">
        <v>31</v>
      </c>
      <c r="D512" s="6" t="str">
        <f>"蔡婷"</f>
        <v>蔡婷</v>
      </c>
      <c r="E512" s="6" t="str">
        <f t="shared" si="20"/>
        <v>女</v>
      </c>
      <c r="F512" s="6" t="str">
        <f>"1998-04-08"</f>
        <v>1998-04-08</v>
      </c>
      <c r="G512" s="6"/>
    </row>
    <row r="513" spans="1:7" ht="30" customHeight="1">
      <c r="A513" s="6">
        <v>511</v>
      </c>
      <c r="B513" s="6" t="str">
        <f>"39212022051720445234268"</f>
        <v>39212022051720445234268</v>
      </c>
      <c r="C513" s="6" t="s">
        <v>31</v>
      </c>
      <c r="D513" s="6" t="str">
        <f>"陈妙"</f>
        <v>陈妙</v>
      </c>
      <c r="E513" s="6" t="str">
        <f t="shared" si="20"/>
        <v>女</v>
      </c>
      <c r="F513" s="6" t="str">
        <f>"1996-12-12"</f>
        <v>1996-12-12</v>
      </c>
      <c r="G513" s="6"/>
    </row>
    <row r="514" spans="1:7" ht="30" customHeight="1">
      <c r="A514" s="6">
        <v>512</v>
      </c>
      <c r="B514" s="6" t="str">
        <f>"39212022051720521334301"</f>
        <v>39212022051720521334301</v>
      </c>
      <c r="C514" s="6" t="s">
        <v>31</v>
      </c>
      <c r="D514" s="6" t="str">
        <f>"陈运菌"</f>
        <v>陈运菌</v>
      </c>
      <c r="E514" s="6" t="str">
        <f t="shared" si="20"/>
        <v>女</v>
      </c>
      <c r="F514" s="6" t="str">
        <f>"1997-10-12"</f>
        <v>1997-10-12</v>
      </c>
      <c r="G514" s="6"/>
    </row>
    <row r="515" spans="1:7" ht="30" customHeight="1">
      <c r="A515" s="6">
        <v>513</v>
      </c>
      <c r="B515" s="6" t="str">
        <f>"39212022051720525734306"</f>
        <v>39212022051720525734306</v>
      </c>
      <c r="C515" s="6" t="s">
        <v>31</v>
      </c>
      <c r="D515" s="6" t="str">
        <f>"陈志梦"</f>
        <v>陈志梦</v>
      </c>
      <c r="E515" s="6" t="str">
        <f t="shared" si="20"/>
        <v>女</v>
      </c>
      <c r="F515" s="6" t="str">
        <f>"1998-10-27"</f>
        <v>1998-10-27</v>
      </c>
      <c r="G515" s="6"/>
    </row>
    <row r="516" spans="1:7" ht="30" customHeight="1">
      <c r="A516" s="6">
        <v>514</v>
      </c>
      <c r="B516" s="6" t="str">
        <f>"39212022051721033734359"</f>
        <v>39212022051721033734359</v>
      </c>
      <c r="C516" s="6" t="s">
        <v>31</v>
      </c>
      <c r="D516" s="6" t="str">
        <f>"曾春妍"</f>
        <v>曾春妍</v>
      </c>
      <c r="E516" s="6" t="str">
        <f t="shared" si="20"/>
        <v>女</v>
      </c>
      <c r="F516" s="6" t="str">
        <f>"1998-10-14"</f>
        <v>1998-10-14</v>
      </c>
      <c r="G516" s="6"/>
    </row>
    <row r="517" spans="1:7" ht="30" customHeight="1">
      <c r="A517" s="6">
        <v>515</v>
      </c>
      <c r="B517" s="6" t="str">
        <f>"39212022051721324334461"</f>
        <v>39212022051721324334461</v>
      </c>
      <c r="C517" s="6" t="s">
        <v>31</v>
      </c>
      <c r="D517" s="6" t="str">
        <f>"张秋丹"</f>
        <v>张秋丹</v>
      </c>
      <c r="E517" s="6" t="str">
        <f t="shared" si="20"/>
        <v>女</v>
      </c>
      <c r="F517" s="6" t="str">
        <f>"1996-04-02"</f>
        <v>1996-04-02</v>
      </c>
      <c r="G517" s="6"/>
    </row>
    <row r="518" spans="1:7" ht="30" customHeight="1">
      <c r="A518" s="6">
        <v>516</v>
      </c>
      <c r="B518" s="6" t="str">
        <f>"39212022051722314434632"</f>
        <v>39212022051722314434632</v>
      </c>
      <c r="C518" s="6" t="s">
        <v>31</v>
      </c>
      <c r="D518" s="6" t="str">
        <f>"容信姬"</f>
        <v>容信姬</v>
      </c>
      <c r="E518" s="6" t="str">
        <f t="shared" si="20"/>
        <v>女</v>
      </c>
      <c r="F518" s="6" t="str">
        <f>"1999-01-06"</f>
        <v>1999-01-06</v>
      </c>
      <c r="G518" s="6"/>
    </row>
    <row r="519" spans="1:7" ht="30" customHeight="1">
      <c r="A519" s="6">
        <v>517</v>
      </c>
      <c r="B519" s="6" t="str">
        <f>"39212022051722353034640"</f>
        <v>39212022051722353034640</v>
      </c>
      <c r="C519" s="6" t="s">
        <v>31</v>
      </c>
      <c r="D519" s="6" t="str">
        <f>"陈怡湘"</f>
        <v>陈怡湘</v>
      </c>
      <c r="E519" s="6" t="str">
        <f t="shared" si="20"/>
        <v>女</v>
      </c>
      <c r="F519" s="6" t="str">
        <f>"1999-02-11"</f>
        <v>1999-02-11</v>
      </c>
      <c r="G519" s="6"/>
    </row>
    <row r="520" spans="1:7" ht="30" customHeight="1">
      <c r="A520" s="6">
        <v>518</v>
      </c>
      <c r="B520" s="6" t="str">
        <f>"39212022051722415234663"</f>
        <v>39212022051722415234663</v>
      </c>
      <c r="C520" s="6" t="s">
        <v>31</v>
      </c>
      <c r="D520" s="6" t="str">
        <f>"岑飞蝶"</f>
        <v>岑飞蝶</v>
      </c>
      <c r="E520" s="6" t="str">
        <f t="shared" si="20"/>
        <v>女</v>
      </c>
      <c r="F520" s="6" t="str">
        <f>"1999-08-08"</f>
        <v>1999-08-08</v>
      </c>
      <c r="G520" s="6"/>
    </row>
    <row r="521" spans="1:7" ht="30" customHeight="1">
      <c r="A521" s="6">
        <v>519</v>
      </c>
      <c r="B521" s="6" t="str">
        <f>"39212022051722454934671"</f>
        <v>39212022051722454934671</v>
      </c>
      <c r="C521" s="6" t="s">
        <v>31</v>
      </c>
      <c r="D521" s="6" t="str">
        <f>"陈泽迈"</f>
        <v>陈泽迈</v>
      </c>
      <c r="E521" s="6" t="str">
        <f t="shared" si="20"/>
        <v>女</v>
      </c>
      <c r="F521" s="6" t="str">
        <f>"1999-09-03"</f>
        <v>1999-09-03</v>
      </c>
      <c r="G521" s="6"/>
    </row>
    <row r="522" spans="1:7" ht="30" customHeight="1">
      <c r="A522" s="6">
        <v>520</v>
      </c>
      <c r="B522" s="6" t="str">
        <f>"39212022051722482634675"</f>
        <v>39212022051722482634675</v>
      </c>
      <c r="C522" s="6" t="s">
        <v>31</v>
      </c>
      <c r="D522" s="6" t="str">
        <f>"李香"</f>
        <v>李香</v>
      </c>
      <c r="E522" s="6" t="str">
        <f t="shared" si="20"/>
        <v>女</v>
      </c>
      <c r="F522" s="6" t="str">
        <f>"1992-05-13"</f>
        <v>1992-05-13</v>
      </c>
      <c r="G522" s="6"/>
    </row>
    <row r="523" spans="1:7" ht="30" customHeight="1">
      <c r="A523" s="6">
        <v>521</v>
      </c>
      <c r="B523" s="6" t="str">
        <f>"39212022051723020234723"</f>
        <v>39212022051723020234723</v>
      </c>
      <c r="C523" s="6" t="s">
        <v>31</v>
      </c>
      <c r="D523" s="6" t="str">
        <f>"李以景"</f>
        <v>李以景</v>
      </c>
      <c r="E523" s="6" t="str">
        <f t="shared" si="20"/>
        <v>女</v>
      </c>
      <c r="F523" s="6" t="str">
        <f>"1997-04-08"</f>
        <v>1997-04-08</v>
      </c>
      <c r="G523" s="6"/>
    </row>
    <row r="524" spans="1:7" ht="30" customHeight="1">
      <c r="A524" s="6">
        <v>522</v>
      </c>
      <c r="B524" s="6" t="str">
        <f>"39212022051723145134760"</f>
        <v>39212022051723145134760</v>
      </c>
      <c r="C524" s="6" t="s">
        <v>31</v>
      </c>
      <c r="D524" s="6" t="str">
        <f>"邢贞鸾"</f>
        <v>邢贞鸾</v>
      </c>
      <c r="E524" s="6" t="str">
        <f t="shared" si="20"/>
        <v>女</v>
      </c>
      <c r="F524" s="6" t="str">
        <f>"1997-07-24"</f>
        <v>1997-07-24</v>
      </c>
      <c r="G524" s="6"/>
    </row>
    <row r="525" spans="1:7" ht="30" customHeight="1">
      <c r="A525" s="6">
        <v>523</v>
      </c>
      <c r="B525" s="6" t="str">
        <f>"39212022051723310134790"</f>
        <v>39212022051723310134790</v>
      </c>
      <c r="C525" s="6" t="s">
        <v>31</v>
      </c>
      <c r="D525" s="6" t="str">
        <f>"蔡蔓丽"</f>
        <v>蔡蔓丽</v>
      </c>
      <c r="E525" s="6" t="str">
        <f t="shared" si="20"/>
        <v>女</v>
      </c>
      <c r="F525" s="6" t="str">
        <f>"2001-08-27"</f>
        <v>2001-08-27</v>
      </c>
      <c r="G525" s="6"/>
    </row>
    <row r="526" spans="1:7" ht="30" customHeight="1">
      <c r="A526" s="6">
        <v>524</v>
      </c>
      <c r="B526" s="6" t="str">
        <f>"39212022051723390634803"</f>
        <v>39212022051723390634803</v>
      </c>
      <c r="C526" s="6" t="s">
        <v>31</v>
      </c>
      <c r="D526" s="6" t="str">
        <f>"孙翔"</f>
        <v>孙翔</v>
      </c>
      <c r="E526" s="6" t="str">
        <f t="shared" si="20"/>
        <v>女</v>
      </c>
      <c r="F526" s="6" t="str">
        <f>"1997-11-14"</f>
        <v>1997-11-14</v>
      </c>
      <c r="G526" s="6"/>
    </row>
    <row r="527" spans="1:7" ht="30" customHeight="1">
      <c r="A527" s="6">
        <v>525</v>
      </c>
      <c r="B527" s="6" t="str">
        <f>"39212022051723573634834"</f>
        <v>39212022051723573634834</v>
      </c>
      <c r="C527" s="6" t="s">
        <v>31</v>
      </c>
      <c r="D527" s="6" t="str">
        <f>"韦兴梅"</f>
        <v>韦兴梅</v>
      </c>
      <c r="E527" s="6" t="str">
        <f t="shared" si="20"/>
        <v>女</v>
      </c>
      <c r="F527" s="6" t="str">
        <f>"1997-12-06"</f>
        <v>1997-12-06</v>
      </c>
      <c r="G527" s="6"/>
    </row>
    <row r="528" spans="1:7" ht="30" customHeight="1">
      <c r="A528" s="6">
        <v>526</v>
      </c>
      <c r="B528" s="6" t="str">
        <f>"39212022051808141134963"</f>
        <v>39212022051808141134963</v>
      </c>
      <c r="C528" s="6" t="s">
        <v>31</v>
      </c>
      <c r="D528" s="6" t="str">
        <f>"李吉德"</f>
        <v>李吉德</v>
      </c>
      <c r="E528" s="6" t="str">
        <f t="shared" si="20"/>
        <v>女</v>
      </c>
      <c r="F528" s="6" t="str">
        <f>"1997-03-15"</f>
        <v>1997-03-15</v>
      </c>
      <c r="G528" s="6"/>
    </row>
    <row r="529" spans="1:7" ht="30" customHeight="1">
      <c r="A529" s="6">
        <v>527</v>
      </c>
      <c r="B529" s="6" t="str">
        <f>"39212022051808310234995"</f>
        <v>39212022051808310234995</v>
      </c>
      <c r="C529" s="6" t="s">
        <v>31</v>
      </c>
      <c r="D529" s="6" t="str">
        <f>"李婵娟"</f>
        <v>李婵娟</v>
      </c>
      <c r="E529" s="6" t="str">
        <f t="shared" si="20"/>
        <v>女</v>
      </c>
      <c r="F529" s="6" t="str">
        <f>"1996-08-04"</f>
        <v>1996-08-04</v>
      </c>
      <c r="G529" s="6"/>
    </row>
    <row r="530" spans="1:7" ht="30" customHeight="1">
      <c r="A530" s="6">
        <v>528</v>
      </c>
      <c r="B530" s="6" t="str">
        <f>"39212022051808472135028"</f>
        <v>39212022051808472135028</v>
      </c>
      <c r="C530" s="6" t="s">
        <v>31</v>
      </c>
      <c r="D530" s="6" t="str">
        <f>"许秀丽"</f>
        <v>许秀丽</v>
      </c>
      <c r="E530" s="6" t="str">
        <f t="shared" si="20"/>
        <v>女</v>
      </c>
      <c r="F530" s="6" t="str">
        <f>"1994-10-03"</f>
        <v>1994-10-03</v>
      </c>
      <c r="G530" s="6"/>
    </row>
    <row r="531" spans="1:7" ht="30" customHeight="1">
      <c r="A531" s="6">
        <v>529</v>
      </c>
      <c r="B531" s="6" t="str">
        <f>"39212022051809064335086"</f>
        <v>39212022051809064335086</v>
      </c>
      <c r="C531" s="6" t="s">
        <v>31</v>
      </c>
      <c r="D531" s="6" t="str">
        <f>"邢珍"</f>
        <v>邢珍</v>
      </c>
      <c r="E531" s="6" t="str">
        <f t="shared" si="20"/>
        <v>女</v>
      </c>
      <c r="F531" s="6" t="str">
        <f>"1997-01-03"</f>
        <v>1997-01-03</v>
      </c>
      <c r="G531" s="6"/>
    </row>
    <row r="532" spans="1:7" ht="30" customHeight="1">
      <c r="A532" s="6">
        <v>530</v>
      </c>
      <c r="B532" s="6" t="str">
        <f>"39212022051810432835412"</f>
        <v>39212022051810432835412</v>
      </c>
      <c r="C532" s="6" t="s">
        <v>31</v>
      </c>
      <c r="D532" s="6" t="str">
        <f>"何君宇"</f>
        <v>何君宇</v>
      </c>
      <c r="E532" s="6" t="str">
        <f t="shared" si="20"/>
        <v>女</v>
      </c>
      <c r="F532" s="6" t="str">
        <f>"1997-10-24"</f>
        <v>1997-10-24</v>
      </c>
      <c r="G532" s="6"/>
    </row>
    <row r="533" spans="1:7" ht="30" customHeight="1">
      <c r="A533" s="6">
        <v>531</v>
      </c>
      <c r="B533" s="6" t="str">
        <f>"39212022051810504035437"</f>
        <v>39212022051810504035437</v>
      </c>
      <c r="C533" s="6" t="s">
        <v>31</v>
      </c>
      <c r="D533" s="6" t="str">
        <f>"高海秀"</f>
        <v>高海秀</v>
      </c>
      <c r="E533" s="6" t="str">
        <f t="shared" si="20"/>
        <v>女</v>
      </c>
      <c r="F533" s="6" t="str">
        <f>"1994-02-28"</f>
        <v>1994-02-28</v>
      </c>
      <c r="G533" s="6"/>
    </row>
    <row r="534" spans="1:7" ht="30" customHeight="1">
      <c r="A534" s="6">
        <v>532</v>
      </c>
      <c r="B534" s="6" t="str">
        <f>"39212022051810593035461"</f>
        <v>39212022051810593035461</v>
      </c>
      <c r="C534" s="6" t="s">
        <v>31</v>
      </c>
      <c r="D534" s="6" t="str">
        <f>"赵月妹"</f>
        <v>赵月妹</v>
      </c>
      <c r="E534" s="6" t="str">
        <f t="shared" si="20"/>
        <v>女</v>
      </c>
      <c r="F534" s="6" t="str">
        <f>"1996-12-13"</f>
        <v>1996-12-13</v>
      </c>
      <c r="G534" s="6"/>
    </row>
    <row r="535" spans="1:7" ht="30" customHeight="1">
      <c r="A535" s="6">
        <v>533</v>
      </c>
      <c r="B535" s="6" t="str">
        <f>"39212022051811284735548"</f>
        <v>39212022051811284735548</v>
      </c>
      <c r="C535" s="6" t="s">
        <v>31</v>
      </c>
      <c r="D535" s="6" t="str">
        <f>"陈瑶瑶"</f>
        <v>陈瑶瑶</v>
      </c>
      <c r="E535" s="6" t="str">
        <f t="shared" si="20"/>
        <v>女</v>
      </c>
      <c r="F535" s="6" t="str">
        <f>"1994-08-05"</f>
        <v>1994-08-05</v>
      </c>
      <c r="G535" s="6"/>
    </row>
    <row r="536" spans="1:7" ht="30" customHeight="1">
      <c r="A536" s="6">
        <v>534</v>
      </c>
      <c r="B536" s="6" t="str">
        <f>"3921202205121016037531"</f>
        <v>3921202205121016037531</v>
      </c>
      <c r="C536" s="6" t="s">
        <v>32</v>
      </c>
      <c r="D536" s="6" t="str">
        <f>"颜冰瑶"</f>
        <v>颜冰瑶</v>
      </c>
      <c r="E536" s="6" t="str">
        <f t="shared" si="20"/>
        <v>女</v>
      </c>
      <c r="F536" s="6" t="str">
        <f>"1988-12-13"</f>
        <v>1988-12-13</v>
      </c>
      <c r="G536" s="6"/>
    </row>
    <row r="537" spans="1:7" ht="30" customHeight="1">
      <c r="A537" s="6">
        <v>535</v>
      </c>
      <c r="B537" s="6" t="str">
        <f>"39212022051323200330062"</f>
        <v>39212022051323200330062</v>
      </c>
      <c r="C537" s="6" t="s">
        <v>32</v>
      </c>
      <c r="D537" s="6" t="str">
        <f>"严妍"</f>
        <v>严妍</v>
      </c>
      <c r="E537" s="6" t="str">
        <f t="shared" si="20"/>
        <v>女</v>
      </c>
      <c r="F537" s="6" t="str">
        <f>"1993-01-06"</f>
        <v>1993-01-06</v>
      </c>
      <c r="G537" s="6"/>
    </row>
    <row r="538" spans="1:7" ht="30" customHeight="1">
      <c r="A538" s="6">
        <v>536</v>
      </c>
      <c r="B538" s="6" t="str">
        <f>"39212022051514523630890"</f>
        <v>39212022051514523630890</v>
      </c>
      <c r="C538" s="6" t="s">
        <v>32</v>
      </c>
      <c r="D538" s="6" t="str">
        <f>"罗斯琦"</f>
        <v>罗斯琦</v>
      </c>
      <c r="E538" s="6" t="str">
        <f t="shared" si="20"/>
        <v>女</v>
      </c>
      <c r="F538" s="6" t="str">
        <f>"1990-12-26"</f>
        <v>1990-12-26</v>
      </c>
      <c r="G538" s="6"/>
    </row>
    <row r="539" spans="1:7" ht="30" customHeight="1">
      <c r="A539" s="6">
        <v>537</v>
      </c>
      <c r="B539" s="6" t="str">
        <f>"39212022051619045032574"</f>
        <v>39212022051619045032574</v>
      </c>
      <c r="C539" s="6" t="s">
        <v>32</v>
      </c>
      <c r="D539" s="6" t="str">
        <f>"桂菲"</f>
        <v>桂菲</v>
      </c>
      <c r="E539" s="6" t="str">
        <f t="shared" si="20"/>
        <v>女</v>
      </c>
      <c r="F539" s="6" t="str">
        <f>"1996-08-17"</f>
        <v>1996-08-17</v>
      </c>
      <c r="G539" s="6"/>
    </row>
  </sheetData>
  <sheetProtection password="CF5E" sheet="1" objects="1"/>
  <autoFilter ref="A2:X539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llenovo</cp:lastModifiedBy>
  <dcterms:created xsi:type="dcterms:W3CDTF">2022-06-02T08:05:18Z</dcterms:created>
  <dcterms:modified xsi:type="dcterms:W3CDTF">2022-06-06T03:29:44Z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BD342C50A0F34C2EB33C8576FE3A9D02</vt:lpwstr>
  </property>
  <property fmtid="{D5CDD505-2E9C-101B-9397-08002B2CF9AE}" pid="4" name="KSOProductBuildV">
    <vt:lpwstr>2052-11.1.0.11744</vt:lpwstr>
  </property>
</Properties>
</file>